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120" yWindow="-120" windowWidth="20730" windowHeight="11160" tabRatio="887" firstSheet="2" activeTab="10"/>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Data" sheetId="1" r:id="rId8"/>
    <sheet name="building" sheetId="55" r:id="rId9"/>
    <sheet name="Abstruct" sheetId="79" r:id="rId10"/>
    <sheet name="Detail" sheetId="80" r:id="rId11"/>
    <sheet name="Print Data (2)" sheetId="81" r:id="rId12"/>
    <sheet name="Sheet1" sheetId="65" state="hidden" r:id="rId13"/>
    <sheet name="Sheet3" sheetId="82" r:id="rId14"/>
  </sheets>
  <externalReferences>
    <externalReference r:id="rId15"/>
    <externalReference r:id="rId16"/>
    <externalReference r:id="rId17"/>
    <externalReference r:id="rId18"/>
    <externalReference r:id="rId19"/>
    <externalReference r:id="rId20"/>
    <externalReference r:id="rId21"/>
    <externalReference r:id="rId22"/>
  </externalReferences>
  <definedNames>
    <definedName name="____A65539" localSheetId="11">#REF!</definedName>
    <definedName name="____A65539">#REF!</definedName>
    <definedName name="___A65539" localSheetId="11">#REF!</definedName>
    <definedName name="___A65539">#REF!</definedName>
    <definedName name="__A65539" localSheetId="11">#REF!</definedName>
    <definedName name="__A65539">#REF!</definedName>
    <definedName name="_A65539" localSheetId="11">#REF!</definedName>
    <definedName name="_A65539">#REF!</definedName>
    <definedName name="_xlnm._FilterDatabase" localSheetId="8" hidden="1">building!$A$4:$D$501</definedName>
    <definedName name="a" localSheetId="11">#REF!</definedName>
    <definedName name="a">#REF!</definedName>
    <definedName name="a3424\" localSheetId="11">#REF!</definedName>
    <definedName name="a3424\">#REF!</definedName>
    <definedName name="ahfk" localSheetId="9">#REF!</definedName>
    <definedName name="ahfk" localSheetId="10">#REF!</definedName>
    <definedName name="ahfk" localSheetId="11">#REF!</definedName>
    <definedName name="ahfk">#REF!</definedName>
    <definedName name="ahh" localSheetId="11">#REF!</definedName>
    <definedName name="ahh">#REF!</definedName>
    <definedName name="anbu\" localSheetId="9">#REF!</definedName>
    <definedName name="anbu\" localSheetId="10">#REF!</definedName>
    <definedName name="anbu\" localSheetId="11">#REF!</definedName>
    <definedName name="anbu\">#REF!</definedName>
    <definedName name="ass" localSheetId="11">#REF!</definedName>
    <definedName name="ass">#REF!</definedName>
    <definedName name="Beg_Bal" localSheetId="11">#REF!</definedName>
    <definedName name="Beg_Bal">#REF!</definedName>
    <definedName name="c.data" localSheetId="9">#REF!</definedName>
    <definedName name="c.data" localSheetId="10">#REF!</definedName>
    <definedName name="c.data" localSheetId="11">#REF!</definedName>
    <definedName name="c.data">#REF!</definedName>
    <definedName name="c641." localSheetId="11">#REF!</definedName>
    <definedName name="c641.">#REF!</definedName>
    <definedName name="Data" localSheetId="11">#REF!</definedName>
    <definedName name="Data">#REF!</definedName>
    <definedName name="dd" localSheetId="11">#REF!</definedName>
    <definedName name="dd">#REF!</definedName>
    <definedName name="detpada" localSheetId="11">#REF!</definedName>
    <definedName name="detpada">#REF!</definedName>
    <definedName name="df" localSheetId="11">#REF!</definedName>
    <definedName name="df">#REF!</definedName>
    <definedName name="electri" localSheetId="9">#REF!</definedName>
    <definedName name="electri" localSheetId="10">#REF!</definedName>
    <definedName name="electri" localSheetId="11">#REF!</definedName>
    <definedName name="electri">#REF!</definedName>
    <definedName name="End_Bal" localSheetId="11">#REF!</definedName>
    <definedName name="End_Bal">#REF!</definedName>
    <definedName name="er" localSheetId="11">#REF!</definedName>
    <definedName name="er">#REF!</definedName>
    <definedName name="Extra_Pay" localSheetId="11">#REF!</definedName>
    <definedName name="Extra_Pay">#REF!</definedName>
    <definedName name="fgsgsg" localSheetId="11">#REF!</definedName>
    <definedName name="fgsgsg">#REF!</definedName>
    <definedName name="fhd" localSheetId="9">#REF!</definedName>
    <definedName name="fhd" localSheetId="10">#REF!</definedName>
    <definedName name="fhd" localSheetId="11">#REF!</definedName>
    <definedName name="fhd">#REF!</definedName>
    <definedName name="Full_Print" localSheetId="11">#REF!</definedName>
    <definedName name="Full_Print">#REF!</definedName>
    <definedName name="gsgsg" localSheetId="11">#REF!</definedName>
    <definedName name="gsgsg">#REF!</definedName>
    <definedName name="Header_Row" localSheetId="11">ROW(#REF!)</definedName>
    <definedName name="Header_Row">ROW(#REF!)</definedName>
    <definedName name="hha" localSheetId="11">#REF!</definedName>
    <definedName name="hha">#REF!</definedName>
    <definedName name="hia" localSheetId="9">#REF!</definedName>
    <definedName name="hia" localSheetId="8">#REF!</definedName>
    <definedName name="hia" localSheetId="10">#REF!</definedName>
    <definedName name="hia" localSheetId="0">#REF!</definedName>
    <definedName name="hia" localSheetId="11">#REF!</definedName>
    <definedName name="hia">#REF!</definedName>
    <definedName name="hj" localSheetId="11">#REF!</definedName>
    <definedName name="hj">#REF!</definedName>
    <definedName name="i" localSheetId="11">#REF!</definedName>
    <definedName name="i">#REF!</definedName>
    <definedName name="ins" localSheetId="9">#REF!</definedName>
    <definedName name="ins" localSheetId="10">#REF!</definedName>
    <definedName name="ins" localSheetId="11">#REF!</definedName>
    <definedName name="ins">#REF!</definedName>
    <definedName name="Int" localSheetId="11">#REF!</definedName>
    <definedName name="Int">#REF!</definedName>
    <definedName name="Interest_Rate" localSheetId="11">#REF!</definedName>
    <definedName name="Interest_Rate">#REF!</definedName>
    <definedName name="k404." localSheetId="9">#REF!</definedName>
    <definedName name="k404." localSheetId="10">#REF!</definedName>
    <definedName name="k404." localSheetId="11">#REF!</definedName>
    <definedName name="k404.">#REF!</definedName>
    <definedName name="kasper" localSheetId="11">#REF!</definedName>
    <definedName name="kasper">#REF!</definedName>
    <definedName name="Last_Row" localSheetId="11">IF('Print Data (2)'!Values_Entered,'Print Data (2)'!Header_Row+'Print Data (2)'!Number_of_Payments,'Print Data (2)'!Header_Row)</definedName>
    <definedName name="Last_Row">IF('Print Data (2)'!Values_Entered,Header_Row+'Print Data (2)'!Number_of_Payments,Header_Row)</definedName>
    <definedName name="Loan_Amount" localSheetId="11">#REF!</definedName>
    <definedName name="Loan_Amount">#REF!</definedName>
    <definedName name="Loan_Start" localSheetId="11">#REF!</definedName>
    <definedName name="Loan_Start">#REF!</definedName>
    <definedName name="Loan_Years" localSheetId="11">#REF!</definedName>
    <definedName name="Loan_Years">#REF!</definedName>
    <definedName name="Num_Pmt_Per_Year" localSheetId="11">#REF!</definedName>
    <definedName name="Num_Pmt_Per_Year">#REF!</definedName>
    <definedName name="Number_of_Payments" localSheetId="11">MATCH(0.01,'Print Data (2)'!End_Bal,-1)+1</definedName>
    <definedName name="Number_of_Payments">MATCH(0.01,End_Bal,-1)+1</definedName>
    <definedName name="P" localSheetId="9">#REF!</definedName>
    <definedName name="P" localSheetId="10">#REF!</definedName>
    <definedName name="P" localSheetId="11">#REF!</definedName>
    <definedName name="P">#REF!</definedName>
    <definedName name="Pay_Date" localSheetId="11">#REF!</definedName>
    <definedName name="Pay_Date">#REF!</definedName>
    <definedName name="Pay_Num" localSheetId="11">#REF!</definedName>
    <definedName name="Pay_Num">#REF!</definedName>
    <definedName name="payment" localSheetId="11">#REF!</definedName>
    <definedName name="payment">#REF!</definedName>
    <definedName name="Payment_Date" localSheetId="11">DATE(YEAR('Print Data (2)'!Loan_Start),MONTH('Print Data (2)'!Loan_Start)+Payment_Number,DAY('Print Data (2)'!Loan_Start))</definedName>
    <definedName name="Payment_Date">DATE(YEAR(Loan_Start),MONTH(Loan_Start)+Payment_Number,DAY(Loan_Start))</definedName>
    <definedName name="pc" localSheetId="9">#REF!</definedName>
    <definedName name="pc" localSheetId="10">#REF!</definedName>
    <definedName name="pc" localSheetId="11">#REF!</definedName>
    <definedName name="pc">#REF!</definedName>
    <definedName name="Princ" localSheetId="11">#REF!</definedName>
    <definedName name="Princ">#REF!</definedName>
    <definedName name="print" localSheetId="9">#REF!</definedName>
    <definedName name="print" localSheetId="8">#REF!</definedName>
    <definedName name="print" localSheetId="10">#REF!</definedName>
    <definedName name="print" localSheetId="0">#REF!</definedName>
    <definedName name="print" localSheetId="11">#REF!</definedName>
    <definedName name="print">#REF!</definedName>
    <definedName name="_xlnm.Print_Area" localSheetId="3">'  Coastal  Elec.Data '!$F$2832:$K$2988</definedName>
    <definedName name="_xlnm.Print_Area" localSheetId="1">'2 in 1 incl. F.E.'!$303:$303</definedName>
    <definedName name="_xlnm.Print_Area" localSheetId="9">Abstruct!$A$1:$F$84</definedName>
    <definedName name="_xlnm.Print_Area" localSheetId="8">building!$A$1:$D$1417</definedName>
    <definedName name="_xlnm.Print_Area" localSheetId="7">Data!$T$1:$AE$61</definedName>
    <definedName name="_xlnm.Print_Area" localSheetId="10">Detail!$A$1:$I$315</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 (2)'!$A$1:$F$505</definedName>
    <definedName name="_xlnm.Print_Area" localSheetId="6">'Sliding and french window'!$A$80:$G$127</definedName>
    <definedName name="_xlnm.Print_Area">#REF!</definedName>
    <definedName name="Print_Area_MI" localSheetId="3">'  Coastal  Elec.Data '!$F$1:$K$213</definedName>
    <definedName name="PRINT_AREA_MI" localSheetId="9">#REF!</definedName>
    <definedName name="Print_Area_MI" localSheetId="7">Data!$F$1:$K$215</definedName>
    <definedName name="PRINT_AREA_MI" localSheetId="10">#REF!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Reset" localSheetId="11">OFFSET('Print Data (2)'!Full_Print,0,0,'Print Data (2)'!Last_Row)</definedName>
    <definedName name="Print_Area_Reset">OFFSET(Full_Print,0,0,Last_Row)</definedName>
    <definedName name="Print_Title" localSheetId="9">#REF!</definedName>
    <definedName name="Print_Title" localSheetId="10">#REF!</definedName>
    <definedName name="Print_Title" localSheetId="11">#REF!</definedName>
    <definedName name="Print_Title">#REF!</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 localSheetId="11">#REF!</definedName>
    <definedName name="_xlnm.Print_Titles">#REF!</definedName>
    <definedName name="PRINT_TITLES_MI" localSheetId="3">'  Coastal  Elec.Data '!$GJ$7:$IG$7608</definedName>
    <definedName name="PRINT_TITLES_MI" localSheetId="9">#REF!</definedName>
    <definedName name="PRINT_TITLES_MI" localSheetId="7">Data!$GJ$7:$IG$7594</definedName>
    <definedName name="PRINT_TITLES_MI" localSheetId="10">#REF!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s_app" localSheetId="11">#REF!</definedName>
    <definedName name="ps_app">#REF!</definedName>
    <definedName name="ps_est" localSheetId="11">#REF!</definedName>
    <definedName name="ps_est">#REF!</definedName>
    <definedName name="ps_max" localSheetId="11">#REF!</definedName>
    <definedName name="ps_max">#REF!</definedName>
    <definedName name="ps_paid" localSheetId="11">#REF!</definedName>
    <definedName name="ps_paid">#REF!</definedName>
    <definedName name="ps_quo" localSheetId="11">#REF!</definedName>
    <definedName name="ps_quo">#REF!</definedName>
    <definedName name="ps_rec" localSheetId="11">#REF!</definedName>
    <definedName name="ps_rec">#REF!</definedName>
    <definedName name="QQE" localSheetId="9">#REF!</definedName>
    <definedName name="QQE" localSheetId="10">#REF!</definedName>
    <definedName name="QQE" localSheetId="11">#REF!</definedName>
    <definedName name="QQE">#REF!</definedName>
    <definedName name="QWE" localSheetId="9">#REF!</definedName>
    <definedName name="QWE" localSheetId="10">#REF!</definedName>
    <definedName name="QWE" localSheetId="11">#REF!</definedName>
    <definedName name="QWE">#REF!</definedName>
    <definedName name="roya" localSheetId="11">#REF!</definedName>
    <definedName name="roya">#REF!</definedName>
    <definedName name="S" localSheetId="9">#REF!</definedName>
    <definedName name="S" localSheetId="10">#REF!</definedName>
    <definedName name="S" localSheetId="11">#REF!</definedName>
    <definedName name="S">#REF!</definedName>
    <definedName name="Sched_Pay" localSheetId="11">#REF!</definedName>
    <definedName name="Sched_Pay">#REF!</definedName>
    <definedName name="Scheduled_Extra_Payments" localSheetId="11">#REF!</definedName>
    <definedName name="Scheduled_Extra_Payments">#REF!</definedName>
    <definedName name="Scheduled_Interest_Rate" localSheetId="11">#REF!</definedName>
    <definedName name="Scheduled_Interest_Rate">#REF!</definedName>
    <definedName name="Scheduled_Monthly_Payment" localSheetId="11">#REF!</definedName>
    <definedName name="Scheduled_Monthly_Payment">#REF!</definedName>
    <definedName name="sheet" localSheetId="11">#REF!</definedName>
    <definedName name="sheet">#REF!</definedName>
    <definedName name="sk" localSheetId="11">#REF!</definedName>
    <definedName name="sk">#REF!</definedName>
    <definedName name="sss" localSheetId="11">#REF!</definedName>
    <definedName name="sss">#REF!</definedName>
    <definedName name="sump" localSheetId="11">#REF!</definedName>
    <definedName name="sump">#REF!</definedName>
    <definedName name="Total_Interest" localSheetId="11">#REF!</definedName>
    <definedName name="Total_Interest">#REF!</definedName>
    <definedName name="Total_Pay" localSheetId="11">#REF!</definedName>
    <definedName name="Total_Pay">#REF!</definedName>
    <definedName name="Total_Payment" localSheetId="11">Scheduled_Payment+Extra_Payment</definedName>
    <definedName name="Total_Payment">Scheduled_Payment+Extra_Payment</definedName>
    <definedName name="v_app" localSheetId="11">#REF!</definedName>
    <definedName name="v_app">#REF!</definedName>
    <definedName name="v_est" localSheetId="11">#REF!</definedName>
    <definedName name="v_est">#REF!</definedName>
    <definedName name="v_paid" localSheetId="11">#REF!</definedName>
    <definedName name="v_paid">#REF!</definedName>
    <definedName name="v_quo" localSheetId="11">#REF!</definedName>
    <definedName name="v_quo">#REF!</definedName>
    <definedName name="v_rec" localSheetId="11">#REF!</definedName>
    <definedName name="v_rec">#REF!</definedName>
    <definedName name="v_tot" localSheetId="11">#REF!</definedName>
    <definedName name="v_tot">#REF!</definedName>
    <definedName name="Values_Entered" localSheetId="11">IF('Print Data (2)'!Loan_Amount*'Print Data (2)'!Interest_Rate*'Print Data (2)'!Loan_Years*'Print Data (2)'!Loan_Start&gt;0,1,0)</definedName>
    <definedName name="Values_Entered">IF(Loan_Amount*Interest_Rate*Loan_Years*Loan_Start&gt;0,1,0)</definedName>
    <definedName name="vignesh" localSheetId="11">#REF!</definedName>
    <definedName name="vignesh">#REF!</definedName>
    <definedName name="xgjhvfxfhkl" localSheetId="11">#REF!</definedName>
    <definedName name="xgjhvfxfhkl">#REF!</definedName>
  </definedNames>
  <calcPr calcId="144525"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4" i="79" l="1"/>
  <c r="F73" i="79"/>
  <c r="D25" i="79"/>
  <c r="D466" i="81"/>
  <c r="F466" i="81" s="1"/>
  <c r="F465" i="81"/>
  <c r="D428" i="81"/>
  <c r="F428" i="81" s="1"/>
  <c r="D415" i="81"/>
  <c r="F415" i="81" s="1"/>
  <c r="D409" i="81"/>
  <c r="F409" i="81" s="1"/>
  <c r="E69" i="79"/>
  <c r="E68" i="79"/>
  <c r="C69" i="79"/>
  <c r="C68" i="79"/>
  <c r="I306" i="80"/>
  <c r="I305" i="80"/>
  <c r="E304" i="80"/>
  <c r="D304" i="80"/>
  <c r="C304" i="80"/>
  <c r="I300" i="80"/>
  <c r="I301" i="80"/>
  <c r="E299" i="80"/>
  <c r="D299" i="80"/>
  <c r="C299" i="80"/>
  <c r="F66" i="79"/>
  <c r="C67" i="79"/>
  <c r="B293" i="80"/>
  <c r="C293" i="80"/>
  <c r="D293" i="80"/>
  <c r="E293" i="80"/>
  <c r="F293" i="80"/>
  <c r="H293" i="80"/>
  <c r="B294" i="80"/>
  <c r="C294" i="80"/>
  <c r="D294" i="80"/>
  <c r="E294" i="80"/>
  <c r="F294" i="80"/>
  <c r="H294" i="80"/>
  <c r="B295" i="80"/>
  <c r="C295" i="80"/>
  <c r="D295" i="80"/>
  <c r="E295" i="80"/>
  <c r="F295" i="80"/>
  <c r="H295" i="80"/>
  <c r="B296" i="80"/>
  <c r="C296" i="80"/>
  <c r="D296" i="80"/>
  <c r="E296" i="80"/>
  <c r="F296" i="80"/>
  <c r="H296" i="80"/>
  <c r="E297" i="80"/>
  <c r="I297" i="80"/>
  <c r="E67" i="79" s="1"/>
  <c r="C292" i="80"/>
  <c r="D292" i="80"/>
  <c r="E292" i="80"/>
  <c r="F292" i="80"/>
  <c r="H292" i="80"/>
  <c r="B292" i="80"/>
  <c r="I56" i="80"/>
  <c r="I293" i="80" s="1"/>
  <c r="I57" i="80"/>
  <c r="I294" i="80" s="1"/>
  <c r="I58" i="80"/>
  <c r="I295" i="80" s="1"/>
  <c r="I59" i="80"/>
  <c r="I296" i="80" s="1"/>
  <c r="E65" i="79"/>
  <c r="C65" i="79"/>
  <c r="C64" i="79"/>
  <c r="I289" i="80"/>
  <c r="H290" i="80" s="1"/>
  <c r="B65" i="79" s="1"/>
  <c r="F65" i="79" s="1"/>
  <c r="F64" i="79"/>
  <c r="E63" i="79"/>
  <c r="E62" i="79"/>
  <c r="C63" i="79"/>
  <c r="C62" i="79"/>
  <c r="I285" i="80"/>
  <c r="H286" i="80" s="1"/>
  <c r="B63" i="79" s="1"/>
  <c r="I282" i="80"/>
  <c r="H283" i="80" s="1"/>
  <c r="B62" i="79" s="1"/>
  <c r="E61" i="79"/>
  <c r="C61" i="79"/>
  <c r="I279" i="80"/>
  <c r="H280" i="80" s="1"/>
  <c r="B61" i="79" s="1"/>
  <c r="E60" i="79"/>
  <c r="E59" i="79"/>
  <c r="C60" i="79"/>
  <c r="C59" i="79"/>
  <c r="I276" i="80"/>
  <c r="H277" i="80" s="1"/>
  <c r="B60" i="79" s="1"/>
  <c r="D272" i="80"/>
  <c r="C272" i="80"/>
  <c r="I299" i="80" l="1"/>
  <c r="H302" i="80" s="1"/>
  <c r="B68" i="79" s="1"/>
  <c r="I304" i="80"/>
  <c r="H307" i="80" s="1"/>
  <c r="F214" i="80" s="1"/>
  <c r="I214" i="80" s="1"/>
  <c r="I272" i="80"/>
  <c r="H273" i="80" s="1"/>
  <c r="B59" i="79" s="1"/>
  <c r="B69" i="79" l="1"/>
  <c r="B254" i="80"/>
  <c r="C254" i="80"/>
  <c r="D254" i="80"/>
  <c r="E254" i="80"/>
  <c r="G254" i="80"/>
  <c r="H254" i="80"/>
  <c r="B255" i="80"/>
  <c r="E255" i="80"/>
  <c r="F255" i="80"/>
  <c r="G255" i="80"/>
  <c r="H255" i="80"/>
  <c r="B248" i="80"/>
  <c r="C248" i="80"/>
  <c r="D248" i="80"/>
  <c r="E248" i="80"/>
  <c r="F248" i="80"/>
  <c r="G248" i="80"/>
  <c r="H248" i="80"/>
  <c r="B249" i="80"/>
  <c r="C249" i="80"/>
  <c r="D249" i="80"/>
  <c r="E249" i="80"/>
  <c r="F249" i="80"/>
  <c r="G249" i="80"/>
  <c r="H249" i="80"/>
  <c r="B250" i="80"/>
  <c r="C250" i="80"/>
  <c r="D250" i="80"/>
  <c r="E250" i="80"/>
  <c r="G250" i="80"/>
  <c r="H250" i="80"/>
  <c r="B251" i="80"/>
  <c r="C251" i="80"/>
  <c r="D251" i="80"/>
  <c r="E251" i="80"/>
  <c r="F251" i="80"/>
  <c r="G251" i="80"/>
  <c r="H251" i="80"/>
  <c r="B252" i="80"/>
  <c r="C252" i="80"/>
  <c r="D252" i="80"/>
  <c r="E252" i="80"/>
  <c r="F252" i="80"/>
  <c r="G252" i="80"/>
  <c r="H252" i="80"/>
  <c r="B253" i="80"/>
  <c r="C253" i="80"/>
  <c r="D253" i="80"/>
  <c r="E253" i="80"/>
  <c r="G253" i="80"/>
  <c r="H253" i="80"/>
  <c r="C247" i="80"/>
  <c r="D247" i="80"/>
  <c r="E247" i="80"/>
  <c r="F247" i="80"/>
  <c r="G247" i="80"/>
  <c r="H247" i="80"/>
  <c r="B247" i="80"/>
  <c r="E58" i="79"/>
  <c r="C58" i="79"/>
  <c r="B260" i="80"/>
  <c r="C260" i="80"/>
  <c r="D260" i="80"/>
  <c r="E260" i="80"/>
  <c r="F260" i="80"/>
  <c r="B261" i="80"/>
  <c r="C261" i="80"/>
  <c r="D261" i="80"/>
  <c r="E261" i="80"/>
  <c r="F261" i="80"/>
  <c r="G261" i="80"/>
  <c r="B262" i="80"/>
  <c r="C262" i="80"/>
  <c r="D262" i="80"/>
  <c r="E262" i="80"/>
  <c r="B263" i="80"/>
  <c r="C263" i="80"/>
  <c r="D263" i="80"/>
  <c r="E263" i="80"/>
  <c r="F263" i="80"/>
  <c r="G263" i="80"/>
  <c r="B264" i="80"/>
  <c r="C264" i="80"/>
  <c r="D264" i="80"/>
  <c r="E264" i="80"/>
  <c r="F264" i="80"/>
  <c r="B265" i="80"/>
  <c r="C265" i="80"/>
  <c r="D265" i="80"/>
  <c r="E265" i="80"/>
  <c r="B266" i="80"/>
  <c r="C266" i="80"/>
  <c r="D266" i="80"/>
  <c r="E266" i="80"/>
  <c r="B267" i="80"/>
  <c r="C267" i="80"/>
  <c r="D267" i="80"/>
  <c r="E267" i="80"/>
  <c r="F267" i="80"/>
  <c r="E268" i="80"/>
  <c r="I268" i="80"/>
  <c r="C259" i="80"/>
  <c r="D259" i="80"/>
  <c r="E259" i="80"/>
  <c r="F259" i="80"/>
  <c r="G259" i="80"/>
  <c r="B259" i="80"/>
  <c r="I82" i="80"/>
  <c r="F81" i="80"/>
  <c r="I81" i="80" s="1"/>
  <c r="F80" i="80"/>
  <c r="I80" i="80" s="1"/>
  <c r="I79" i="80"/>
  <c r="I78" i="80"/>
  <c r="F77" i="80"/>
  <c r="I77" i="80" s="1"/>
  <c r="I76" i="80"/>
  <c r="I75" i="80"/>
  <c r="I74" i="80"/>
  <c r="I70" i="80"/>
  <c r="I67" i="80"/>
  <c r="I66" i="80"/>
  <c r="I64" i="80"/>
  <c r="I63" i="80"/>
  <c r="I62" i="80"/>
  <c r="F69" i="80"/>
  <c r="I69" i="80" s="1"/>
  <c r="F68" i="80"/>
  <c r="I68" i="80" s="1"/>
  <c r="F65" i="80"/>
  <c r="I65" i="80" s="1"/>
  <c r="F254" i="80" l="1"/>
  <c r="I255" i="80"/>
  <c r="I254" i="80"/>
  <c r="H83" i="80"/>
  <c r="H84" i="80" s="1"/>
  <c r="F253" i="80"/>
  <c r="F250" i="80"/>
  <c r="I247" i="80"/>
  <c r="I253" i="80"/>
  <c r="I252" i="80"/>
  <c r="I251" i="80"/>
  <c r="I250" i="80"/>
  <c r="I249" i="80"/>
  <c r="I248" i="80"/>
  <c r="I263" i="80"/>
  <c r="I259" i="80"/>
  <c r="I260" i="80"/>
  <c r="I264" i="80"/>
  <c r="I261" i="80"/>
  <c r="I267" i="80"/>
  <c r="F266" i="80"/>
  <c r="I266" i="80" s="1"/>
  <c r="F265" i="80"/>
  <c r="I265" i="80" s="1"/>
  <c r="F262" i="80"/>
  <c r="I262" i="80" s="1"/>
  <c r="H71" i="80"/>
  <c r="I230" i="80"/>
  <c r="I229" i="80"/>
  <c r="I228" i="80"/>
  <c r="I227" i="80"/>
  <c r="I226" i="80"/>
  <c r="I225" i="80"/>
  <c r="I224" i="80"/>
  <c r="I219" i="80"/>
  <c r="I218" i="80"/>
  <c r="I217" i="80"/>
  <c r="I212" i="80"/>
  <c r="I211" i="80"/>
  <c r="I210" i="80"/>
  <c r="I209" i="80"/>
  <c r="I208" i="80"/>
  <c r="I207" i="80"/>
  <c r="I206" i="80"/>
  <c r="I205" i="80"/>
  <c r="I204" i="80"/>
  <c r="I203" i="80"/>
  <c r="I202" i="80"/>
  <c r="I201" i="80"/>
  <c r="I200" i="80"/>
  <c r="I199" i="80"/>
  <c r="I198" i="80"/>
  <c r="I197" i="80"/>
  <c r="I196" i="80"/>
  <c r="I192" i="80"/>
  <c r="I191" i="80"/>
  <c r="I190" i="80"/>
  <c r="I189" i="80"/>
  <c r="I188" i="80"/>
  <c r="I187" i="80"/>
  <c r="I186" i="80"/>
  <c r="I185" i="80"/>
  <c r="I184" i="80"/>
  <c r="I183" i="80"/>
  <c r="I182" i="80"/>
  <c r="I181" i="80"/>
  <c r="I180" i="80"/>
  <c r="I179" i="80"/>
  <c r="I178" i="80"/>
  <c r="I175" i="80"/>
  <c r="I174" i="80"/>
  <c r="I173" i="80"/>
  <c r="I172" i="80"/>
  <c r="I171" i="80"/>
  <c r="I170" i="80"/>
  <c r="I169" i="80"/>
  <c r="I168" i="80"/>
  <c r="I167" i="80"/>
  <c r="I166" i="80"/>
  <c r="I165" i="80"/>
  <c r="I164" i="80"/>
  <c r="I163" i="80"/>
  <c r="I162" i="80"/>
  <c r="I161" i="80"/>
  <c r="I160" i="80"/>
  <c r="I159" i="80"/>
  <c r="I158" i="80"/>
  <c r="I157" i="80"/>
  <c r="I156" i="80"/>
  <c r="I155" i="80"/>
  <c r="I154" i="80"/>
  <c r="I153" i="80"/>
  <c r="I152" i="80"/>
  <c r="I151" i="80"/>
  <c r="I150" i="80"/>
  <c r="I149" i="80"/>
  <c r="I148" i="80"/>
  <c r="I147" i="80"/>
  <c r="I146" i="80"/>
  <c r="I145" i="80"/>
  <c r="I144" i="80"/>
  <c r="I143" i="80"/>
  <c r="I142" i="80"/>
  <c r="I141" i="80"/>
  <c r="I140" i="80"/>
  <c r="I139" i="80"/>
  <c r="I138" i="80"/>
  <c r="I137" i="80"/>
  <c r="I136" i="80"/>
  <c r="I135" i="80"/>
  <c r="I134" i="80"/>
  <c r="I133" i="80"/>
  <c r="I132" i="80"/>
  <c r="I131" i="80"/>
  <c r="I130" i="80"/>
  <c r="I129" i="80"/>
  <c r="I128" i="80"/>
  <c r="I127" i="80"/>
  <c r="I126" i="80"/>
  <c r="I125" i="80"/>
  <c r="I124" i="80"/>
  <c r="I123" i="80"/>
  <c r="I122" i="80"/>
  <c r="I121" i="80"/>
  <c r="I120" i="80"/>
  <c r="I119" i="80"/>
  <c r="H215" i="80" l="1"/>
  <c r="H72" i="80"/>
  <c r="B19" i="79" s="1"/>
  <c r="H256" i="80"/>
  <c r="B20" i="79"/>
  <c r="H268" i="80"/>
  <c r="H269" i="80" s="1"/>
  <c r="B58" i="79" s="1"/>
  <c r="H222" i="80"/>
  <c r="H231" i="80"/>
  <c r="H176" i="80"/>
  <c r="A10" i="79" l="1"/>
  <c r="A14" i="79" s="1"/>
  <c r="A15" i="79" s="1"/>
  <c r="A16" i="79" s="1"/>
  <c r="A17" i="79" s="1"/>
  <c r="A18" i="79" s="1"/>
  <c r="A19" i="79" s="1"/>
  <c r="A20" i="79" s="1"/>
  <c r="A21" i="79" s="1"/>
  <c r="A22" i="79" s="1"/>
  <c r="A25" i="79" s="1"/>
  <c r="A26" i="79" s="1"/>
  <c r="A27" i="79" s="1"/>
  <c r="A28" i="79" s="1"/>
  <c r="A29" i="79" s="1"/>
  <c r="A37" i="79" s="1"/>
  <c r="A45" i="79" s="1"/>
  <c r="A46" i="79" s="1"/>
  <c r="A47" i="79" s="1"/>
  <c r="A48" i="79" s="1"/>
  <c r="A49" i="79" s="1"/>
  <c r="A57" i="79" s="1"/>
  <c r="A58" i="79" s="1"/>
  <c r="A59" i="79" s="1"/>
  <c r="A60" i="79" s="1"/>
  <c r="A61" i="79" s="1"/>
  <c r="A62" i="79" s="1"/>
  <c r="A63" i="79" s="1"/>
  <c r="A64" i="79" s="1"/>
  <c r="A67" i="79" s="1"/>
  <c r="A68" i="79" s="1"/>
  <c r="A69" i="79" s="1"/>
  <c r="A27" i="80"/>
  <c r="A37" i="80" s="1"/>
  <c r="A40" i="80" s="1"/>
  <c r="A43" i="80" s="1"/>
  <c r="A48" i="80" s="1"/>
  <c r="A54" i="80" s="1"/>
  <c r="A61" i="80" l="1"/>
  <c r="A73" i="80" s="1"/>
  <c r="A85" i="80" s="1"/>
  <c r="A89" i="80" s="1"/>
  <c r="A96" i="80" s="1"/>
  <c r="A99" i="80" s="1"/>
  <c r="A102" i="80" s="1"/>
  <c r="A105" i="80" s="1"/>
  <c r="A110" i="80" s="1"/>
  <c r="A114" i="80" s="1"/>
  <c r="A118" i="80" s="1"/>
  <c r="A177" i="80" s="1"/>
  <c r="A195" i="80" s="1"/>
  <c r="A216" i="80" s="1"/>
  <c r="A223" i="80" s="1"/>
  <c r="A246" i="80" s="1"/>
  <c r="A258" i="80" s="1"/>
  <c r="D14" i="79"/>
  <c r="B73" i="80"/>
  <c r="A270" i="80" l="1"/>
  <c r="A274" i="80" s="1"/>
  <c r="A278" i="80" s="1"/>
  <c r="A281" i="80" s="1"/>
  <c r="A284" i="80" s="1"/>
  <c r="A287" i="80" s="1"/>
  <c r="A291" i="80" s="1"/>
  <c r="A298" i="80" s="1"/>
  <c r="A303" i="80" s="1"/>
  <c r="I41" i="80"/>
  <c r="X16" i="1"/>
  <c r="F9" i="79"/>
  <c r="F10" i="79"/>
  <c r="F22" i="79"/>
  <c r="F30" i="79"/>
  <c r="F31" i="79"/>
  <c r="F32" i="79"/>
  <c r="F33" i="79"/>
  <c r="F34" i="79"/>
  <c r="F35" i="79"/>
  <c r="F36" i="79"/>
  <c r="F38" i="79"/>
  <c r="F39" i="79"/>
  <c r="F40" i="79"/>
  <c r="F41" i="79"/>
  <c r="F42" i="79"/>
  <c r="F43" i="79"/>
  <c r="F44" i="79"/>
  <c r="F50" i="79"/>
  <c r="F51" i="79"/>
  <c r="F52" i="79"/>
  <c r="F53" i="79"/>
  <c r="F54" i="79"/>
  <c r="F55" i="79"/>
  <c r="F56" i="79"/>
  <c r="I241" i="80" l="1"/>
  <c r="H243" i="80" s="1"/>
  <c r="I237" i="80"/>
  <c r="H239" i="80" s="1"/>
  <c r="B236" i="80"/>
  <c r="I233" i="80"/>
  <c r="H235" i="80" s="1"/>
  <c r="B232" i="80"/>
  <c r="J223" i="80"/>
  <c r="B223" i="80"/>
  <c r="J222" i="80"/>
  <c r="K221" i="80"/>
  <c r="B216" i="80"/>
  <c r="J215" i="80"/>
  <c r="J194" i="80"/>
  <c r="J176" i="80"/>
  <c r="I115" i="80"/>
  <c r="H117" i="80" s="1"/>
  <c r="B37" i="79" s="1"/>
  <c r="B114" i="80"/>
  <c r="I111" i="80"/>
  <c r="H113" i="80" s="1"/>
  <c r="B29" i="79" s="1"/>
  <c r="B110" i="80"/>
  <c r="I107" i="80"/>
  <c r="I106" i="80"/>
  <c r="B105" i="80"/>
  <c r="I103" i="80"/>
  <c r="H104" i="80" s="1"/>
  <c r="B27" i="79" s="1"/>
  <c r="B102" i="80"/>
  <c r="I100" i="80"/>
  <c r="H101" i="80" s="1"/>
  <c r="B26" i="79" s="1"/>
  <c r="B99" i="80"/>
  <c r="I97" i="80"/>
  <c r="H98" i="80" s="1"/>
  <c r="B25" i="79" s="1"/>
  <c r="I94" i="80"/>
  <c r="H95" i="80" s="1"/>
  <c r="B24" i="79" s="1"/>
  <c r="B93" i="80"/>
  <c r="I91" i="80"/>
  <c r="H92" i="80" s="1"/>
  <c r="B23" i="79" s="1"/>
  <c r="B90" i="80"/>
  <c r="B89" i="80"/>
  <c r="I86" i="80"/>
  <c r="H88" i="80" s="1"/>
  <c r="B21" i="79" s="1"/>
  <c r="I55" i="80"/>
  <c r="I292" i="80" s="1"/>
  <c r="B54" i="80"/>
  <c r="I51" i="80"/>
  <c r="I50" i="80"/>
  <c r="I49" i="80"/>
  <c r="B48" i="80"/>
  <c r="I45" i="80"/>
  <c r="I44" i="80"/>
  <c r="B43" i="80"/>
  <c r="H42" i="80"/>
  <c r="B15" i="79" s="1"/>
  <c r="B40" i="80"/>
  <c r="I38" i="80"/>
  <c r="H39" i="80" s="1"/>
  <c r="B14" i="79" s="1"/>
  <c r="F14" i="79" s="1"/>
  <c r="B37" i="80"/>
  <c r="I35" i="80"/>
  <c r="H36" i="80" s="1"/>
  <c r="B13" i="79" s="1"/>
  <c r="B34" i="80"/>
  <c r="I32" i="80"/>
  <c r="H33" i="80" s="1"/>
  <c r="B12" i="79" s="1"/>
  <c r="B31" i="80"/>
  <c r="I29" i="80"/>
  <c r="H30" i="80" s="1"/>
  <c r="B11" i="79" s="1"/>
  <c r="B28" i="80"/>
  <c r="B27" i="80"/>
  <c r="I24" i="80"/>
  <c r="I23" i="80"/>
  <c r="F19" i="80"/>
  <c r="I19" i="80" s="1"/>
  <c r="F18" i="80"/>
  <c r="I18" i="80" s="1"/>
  <c r="F17" i="80"/>
  <c r="I17" i="80" s="1"/>
  <c r="I16" i="80"/>
  <c r="I15" i="80"/>
  <c r="I14" i="80"/>
  <c r="I10" i="80"/>
  <c r="H12" i="80" s="1"/>
  <c r="C8" i="79"/>
  <c r="C7" i="79"/>
  <c r="B7" i="79"/>
  <c r="F7" i="79" s="1"/>
  <c r="B49" i="79" l="1"/>
  <c r="B48" i="79"/>
  <c r="B57" i="79"/>
  <c r="F57" i="79" s="1"/>
  <c r="H109" i="80"/>
  <c r="B28" i="79" s="1"/>
  <c r="H21" i="80"/>
  <c r="H60" i="80"/>
  <c r="H47" i="80"/>
  <c r="B16" i="79" s="1"/>
  <c r="H53" i="80"/>
  <c r="B17" i="79" s="1"/>
  <c r="F19" i="79"/>
  <c r="B45" i="79"/>
  <c r="B47" i="79"/>
  <c r="H26" i="80"/>
  <c r="B8" i="79" s="1"/>
  <c r="W22" i="1"/>
  <c r="B18" i="79" l="1"/>
  <c r="H297" i="80"/>
  <c r="B67" i="79" l="1"/>
  <c r="F193" i="80"/>
  <c r="I193" i="80" s="1"/>
  <c r="H194" i="80" s="1"/>
  <c r="B46" i="79" s="1"/>
  <c r="X22" i="1"/>
  <c r="I730" i="11" l="1"/>
  <c r="C602" i="1"/>
  <c r="Y44" i="1"/>
  <c r="Y37" i="1"/>
  <c r="Y36" i="1"/>
  <c r="W23" i="1" l="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4" i="1"/>
  <c r="AE45" i="1"/>
  <c r="AE47" i="1"/>
  <c r="AE48"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9" i="1"/>
  <c r="F3440" i="1"/>
  <c r="F3441" i="1"/>
  <c r="F3442" i="1"/>
  <c r="F3443" i="1"/>
  <c r="F3444" i="1" l="1"/>
  <c r="K3440" i="1"/>
  <c r="F65" i="65"/>
  <c r="F64" i="65"/>
  <c r="F63" i="65"/>
  <c r="F62" i="65"/>
  <c r="F61" i="65"/>
  <c r="F60" i="65"/>
  <c r="F59" i="65"/>
  <c r="F58" i="65"/>
  <c r="F57" i="65"/>
  <c r="F56" i="65"/>
  <c r="F55" i="65"/>
  <c r="F54" i="65"/>
  <c r="F53" i="65"/>
  <c r="F52" i="65"/>
  <c r="F51" i="65"/>
  <c r="F50" i="65"/>
  <c r="F49" i="65"/>
  <c r="F48" i="65"/>
  <c r="F47" i="65"/>
  <c r="F46" i="65"/>
  <c r="F45" i="65"/>
  <c r="F44" i="65"/>
  <c r="F43" i="65"/>
  <c r="F42" i="65"/>
  <c r="F41" i="65"/>
  <c r="F40" i="65"/>
  <c r="F39" i="65"/>
  <c r="F38" i="65"/>
  <c r="F37" i="65"/>
  <c r="F36" i="65"/>
  <c r="F35" i="65"/>
  <c r="F34" i="65"/>
  <c r="F33" i="65"/>
  <c r="F32" i="65"/>
  <c r="F31" i="65"/>
  <c r="F30" i="65"/>
  <c r="F29" i="65"/>
  <c r="D28" i="65"/>
  <c r="F28" i="65" s="1"/>
  <c r="F27" i="65"/>
  <c r="F26" i="65"/>
  <c r="F25" i="65"/>
  <c r="F24" i="65"/>
  <c r="F23" i="65"/>
  <c r="F22" i="65"/>
  <c r="F21" i="65"/>
  <c r="F20" i="65"/>
  <c r="D12" i="65"/>
  <c r="D11" i="65"/>
  <c r="E10" i="65"/>
  <c r="D10" i="65"/>
  <c r="D9" i="65"/>
  <c r="P1888" i="1"/>
  <c r="P1891" i="1"/>
  <c r="P1890" i="1"/>
  <c r="F67" i="65" l="1"/>
  <c r="D13" i="65"/>
  <c r="D14" i="65" s="1"/>
  <c r="D15" i="65" s="1"/>
  <c r="D16" i="65" s="1"/>
  <c r="F68" i="65"/>
  <c r="F69" i="65" s="1"/>
  <c r="F72" i="65" s="1"/>
  <c r="I1071" i="11"/>
  <c r="L1057" i="11"/>
  <c r="K1054" i="11"/>
  <c r="L1035" i="11"/>
  <c r="K1031" i="11"/>
  <c r="L993" i="11"/>
  <c r="P434" i="1"/>
  <c r="R3522" i="1"/>
  <c r="I3509" i="1" s="1"/>
  <c r="AH67" i="1"/>
  <c r="AH68" i="1"/>
  <c r="AH69" i="1"/>
  <c r="AH70" i="1"/>
  <c r="AH71" i="1"/>
  <c r="AH72" i="1"/>
  <c r="AH73" i="1"/>
  <c r="AH74" i="1"/>
  <c r="AH75" i="1"/>
  <c r="AG67" i="1"/>
  <c r="AG68" i="1"/>
  <c r="AG69" i="1"/>
  <c r="AG70" i="1"/>
  <c r="AG71" i="1"/>
  <c r="AG72" i="1"/>
  <c r="AG73" i="1"/>
  <c r="AG74" i="1"/>
  <c r="AG75" i="1"/>
  <c r="AG76" i="1"/>
  <c r="AG77" i="1"/>
  <c r="AG78" i="1"/>
  <c r="I3390" i="1"/>
  <c r="H993" i="1"/>
  <c r="H1023" i="1" s="1"/>
  <c r="H1058" i="1" s="1"/>
  <c r="H994" i="1"/>
  <c r="H1024" i="1" s="1"/>
  <c r="H995" i="1"/>
  <c r="H1025" i="1" s="1"/>
  <c r="H996" i="1"/>
  <c r="H1026" i="1" s="1"/>
  <c r="H997" i="1"/>
  <c r="H1027" i="1" s="1"/>
  <c r="H992" i="1"/>
  <c r="H1022" i="1" s="1"/>
  <c r="L669" i="11"/>
  <c r="I3760" i="1"/>
  <c r="L1119" i="11"/>
  <c r="L1096" i="11"/>
  <c r="E15" i="4"/>
  <c r="E14" i="4"/>
  <c r="N12" i="4"/>
  <c r="K11" i="4"/>
  <c r="H11" i="4"/>
  <c r="K3737" i="1" l="1"/>
  <c r="AB1263" i="1"/>
  <c r="S65" i="11" l="1"/>
  <c r="S66" i="11" s="1"/>
  <c r="M3023" i="27"/>
  <c r="H3020" i="27"/>
  <c r="L3011" i="27"/>
  <c r="G7" i="32" l="1"/>
  <c r="K978" i="11" l="1"/>
  <c r="B500" i="55"/>
  <c r="B501" i="55"/>
  <c r="B499" i="55"/>
  <c r="E886" i="64" l="1"/>
  <c r="C886" i="64"/>
  <c r="G877" i="64"/>
  <c r="E876" i="64"/>
  <c r="C840" i="64"/>
  <c r="C895" i="64" s="1"/>
  <c r="C839" i="64"/>
  <c r="C894" i="64" s="1"/>
  <c r="C838" i="64"/>
  <c r="C893" i="64" s="1"/>
  <c r="C836" i="64"/>
  <c r="C891" i="64" s="1"/>
  <c r="C835" i="64"/>
  <c r="C890" i="64" s="1"/>
  <c r="C834" i="64"/>
  <c r="C889" i="64" s="1"/>
  <c r="C833" i="64"/>
  <c r="C888" i="64" s="1"/>
  <c r="C832" i="64"/>
  <c r="C887" i="64" s="1"/>
  <c r="C830" i="64"/>
  <c r="C885" i="64" s="1"/>
  <c r="C829" i="64"/>
  <c r="C884" i="64" s="1"/>
  <c r="C828" i="64"/>
  <c r="C883" i="64" s="1"/>
  <c r="C827" i="64"/>
  <c r="C882" i="64" s="1"/>
  <c r="C826" i="64"/>
  <c r="C881" i="64" s="1"/>
  <c r="C825" i="64"/>
  <c r="C880" i="64" s="1"/>
  <c r="C824" i="64"/>
  <c r="C879" i="64" s="1"/>
  <c r="C823" i="64"/>
  <c r="C878" i="64" s="1"/>
  <c r="C822" i="64"/>
  <c r="E822" i="64"/>
  <c r="G822" i="64" s="1"/>
  <c r="E819" i="64"/>
  <c r="G819" i="64" s="1"/>
  <c r="C819" i="64"/>
  <c r="E814" i="64"/>
  <c r="G814" i="64" s="1"/>
  <c r="E813" i="64"/>
  <c r="G813" i="64" s="1"/>
  <c r="C813" i="64"/>
  <c r="E812" i="64"/>
  <c r="G812" i="64" s="1"/>
  <c r="C812" i="64"/>
  <c r="A837" i="64"/>
  <c r="E869" i="64" l="1"/>
  <c r="G869" i="64" s="1"/>
  <c r="E867" i="64"/>
  <c r="G867" i="64" s="1"/>
  <c r="E874" i="64"/>
  <c r="G874" i="64" s="1"/>
  <c r="E868" i="64"/>
  <c r="G868" i="64" s="1"/>
  <c r="E820" i="64"/>
  <c r="G820" i="64" l="1"/>
  <c r="E875" i="64"/>
  <c r="G875" i="64" s="1"/>
  <c r="S288" i="11" l="1"/>
  <c r="P2114" i="1"/>
  <c r="R2114" i="1" s="1"/>
  <c r="AD3628" i="1"/>
  <c r="AB3627" i="1"/>
  <c r="AD3627" i="1" s="1"/>
  <c r="AC3618" i="1"/>
  <c r="Y3619" i="1" s="1"/>
  <c r="Y3620" i="1" s="1"/>
  <c r="I852" i="11"/>
  <c r="X45" i="1"/>
  <c r="X43" i="1"/>
  <c r="X41" i="1"/>
  <c r="X39" i="1"/>
  <c r="X38" i="1"/>
  <c r="X32" i="1"/>
  <c r="X31" i="1"/>
  <c r="X25" i="1"/>
  <c r="X26" i="1" s="1"/>
  <c r="X27" i="1" s="1"/>
  <c r="X28" i="1" s="1"/>
  <c r="X23" i="1"/>
  <c r="X21" i="1"/>
  <c r="X18" i="1"/>
  <c r="X29" i="1" s="1"/>
  <c r="X34" i="1" s="1"/>
  <c r="X11" i="1"/>
  <c r="X44" i="1" s="1"/>
  <c r="X10" i="1"/>
  <c r="X9" i="1"/>
  <c r="Z31" i="1"/>
  <c r="Z32" i="1" s="1"/>
  <c r="Z21" i="1"/>
  <c r="R377" i="11"/>
  <c r="R375" i="11"/>
  <c r="L753" i="11"/>
  <c r="I732" i="11"/>
  <c r="K732" i="11" s="1"/>
  <c r="I731" i="11"/>
  <c r="K731" i="11" s="1"/>
  <c r="M736" i="11"/>
  <c r="L708" i="11"/>
  <c r="I523" i="11"/>
  <c r="I756" i="11" s="1"/>
  <c r="K756" i="11" s="1"/>
  <c r="I482" i="11"/>
  <c r="K482" i="11" s="1"/>
  <c r="L482" i="11"/>
  <c r="K480" i="11"/>
  <c r="K479" i="11"/>
  <c r="K1255" i="11"/>
  <c r="K1254" i="11"/>
  <c r="K1253" i="11"/>
  <c r="K1252" i="11"/>
  <c r="K1251" i="11"/>
  <c r="K1250" i="11"/>
  <c r="K1249" i="11"/>
  <c r="K1248" i="11"/>
  <c r="I1247" i="11"/>
  <c r="K1247" i="11" s="1"/>
  <c r="K1244" i="11"/>
  <c r="I1243" i="11"/>
  <c r="K1243" i="11" s="1"/>
  <c r="K1242" i="11"/>
  <c r="K1241" i="11"/>
  <c r="K1239" i="11"/>
  <c r="F1233" i="11"/>
  <c r="K1233" i="11" s="1"/>
  <c r="K1232" i="11"/>
  <c r="I1217" i="11"/>
  <c r="K1217" i="11" s="1"/>
  <c r="K1208" i="11"/>
  <c r="J1199" i="11"/>
  <c r="K1188" i="11"/>
  <c r="K1173" i="11"/>
  <c r="L1157" i="11"/>
  <c r="K1152" i="11"/>
  <c r="L1120" i="11"/>
  <c r="I1112" i="11"/>
  <c r="K1112" i="11" s="1"/>
  <c r="K1111" i="11"/>
  <c r="I1101" i="11"/>
  <c r="K1101" i="11" s="1"/>
  <c r="I1100" i="11"/>
  <c r="K1100" i="11" s="1"/>
  <c r="I1099" i="11"/>
  <c r="K1099" i="11" s="1"/>
  <c r="I1098" i="11"/>
  <c r="K1098" i="11" s="1"/>
  <c r="L1077" i="11"/>
  <c r="I1072" i="11"/>
  <c r="K1072" i="11" s="1"/>
  <c r="K1071" i="11"/>
  <c r="K1068" i="11"/>
  <c r="K1053" i="11"/>
  <c r="K1032" i="11"/>
  <c r="L1019" i="11"/>
  <c r="H1016" i="11"/>
  <c r="I1005" i="11"/>
  <c r="K1005" i="11" s="1"/>
  <c r="I1004" i="11"/>
  <c r="K1004" i="11" s="1"/>
  <c r="I1003" i="11"/>
  <c r="K1003" i="11" s="1"/>
  <c r="I1002" i="11"/>
  <c r="K1002" i="11" s="1"/>
  <c r="K986" i="11"/>
  <c r="K985" i="11"/>
  <c r="K1051" i="11" s="1"/>
  <c r="K983" i="11"/>
  <c r="I982" i="11"/>
  <c r="I981" i="11"/>
  <c r="K981" i="11" s="1"/>
  <c r="K1015" i="11" s="1"/>
  <c r="K1027" i="11" s="1"/>
  <c r="I979" i="11"/>
  <c r="K979" i="11" s="1"/>
  <c r="K1028" i="11"/>
  <c r="I975" i="11"/>
  <c r="K975" i="11" s="1"/>
  <c r="I974" i="11"/>
  <c r="K974" i="11" s="1"/>
  <c r="I973" i="11"/>
  <c r="K973" i="11" s="1"/>
  <c r="K956" i="11"/>
  <c r="K955" i="11"/>
  <c r="K947" i="11"/>
  <c r="K946" i="11"/>
  <c r="K940" i="11"/>
  <c r="K939" i="11"/>
  <c r="K935" i="11"/>
  <c r="K934" i="11"/>
  <c r="K928" i="11"/>
  <c r="H928" i="11"/>
  <c r="I927" i="11"/>
  <c r="K926" i="11"/>
  <c r="K909" i="11"/>
  <c r="K908" i="11"/>
  <c r="J911" i="11" s="1"/>
  <c r="K911" i="11" s="1"/>
  <c r="I894" i="11"/>
  <c r="K894" i="11" s="1"/>
  <c r="K891" i="11"/>
  <c r="K890" i="11"/>
  <c r="K889" i="11"/>
  <c r="H888" i="11"/>
  <c r="H3718" i="27" s="1"/>
  <c r="K887" i="11"/>
  <c r="K879" i="11"/>
  <c r="K877" i="11"/>
  <c r="K868" i="11"/>
  <c r="R866" i="11"/>
  <c r="R865" i="11"/>
  <c r="R864" i="11"/>
  <c r="R863" i="11"/>
  <c r="I863" i="11"/>
  <c r="K863" i="11" s="1"/>
  <c r="R862" i="11"/>
  <c r="M858" i="11"/>
  <c r="L858" i="11"/>
  <c r="I854" i="11"/>
  <c r="K854" i="11" s="1"/>
  <c r="K852" i="11"/>
  <c r="R850" i="11"/>
  <c r="R849" i="11"/>
  <c r="R848" i="11"/>
  <c r="R847" i="11"/>
  <c r="R846" i="11"/>
  <c r="R845" i="11"/>
  <c r="K841" i="11"/>
  <c r="K840" i="11"/>
  <c r="K839" i="11"/>
  <c r="I836" i="11"/>
  <c r="K836" i="11" s="1"/>
  <c r="I835" i="11"/>
  <c r="I888" i="11" s="1"/>
  <c r="K888" i="11" s="1"/>
  <c r="R834" i="11"/>
  <c r="R833" i="11"/>
  <c r="R832" i="11"/>
  <c r="R831" i="11"/>
  <c r="R830" i="11"/>
  <c r="Y814" i="11"/>
  <c r="I813" i="11"/>
  <c r="K813" i="11" s="1"/>
  <c r="P812" i="11"/>
  <c r="R812" i="11" s="1"/>
  <c r="K812" i="11"/>
  <c r="R811" i="11"/>
  <c r="Y804" i="11"/>
  <c r="R804" i="11"/>
  <c r="K804" i="11"/>
  <c r="K803" i="11"/>
  <c r="P783" i="11"/>
  <c r="R783" i="11" s="1"/>
  <c r="I783" i="11"/>
  <c r="I814" i="11" s="1"/>
  <c r="K814" i="11" s="1"/>
  <c r="P782" i="11"/>
  <c r="R782" i="11" s="1"/>
  <c r="K782" i="11"/>
  <c r="K781" i="11"/>
  <c r="L774" i="11"/>
  <c r="K774" i="11"/>
  <c r="J774" i="11"/>
  <c r="I774" i="11"/>
  <c r="K749" i="11"/>
  <c r="K748" i="11"/>
  <c r="K747" i="11"/>
  <c r="L734" i="11"/>
  <c r="N731" i="11"/>
  <c r="N730" i="11"/>
  <c r="M730" i="11"/>
  <c r="L730" i="11"/>
  <c r="K730" i="11"/>
  <c r="M725" i="11"/>
  <c r="I722" i="11"/>
  <c r="K722" i="11" s="1"/>
  <c r="K725" i="11" s="1"/>
  <c r="L725" i="11" s="1"/>
  <c r="H722" i="11"/>
  <c r="K714" i="11"/>
  <c r="K716" i="11" s="1"/>
  <c r="I702" i="11"/>
  <c r="K702" i="11" s="1"/>
  <c r="K690" i="11"/>
  <c r="K693" i="11" s="1"/>
  <c r="L693" i="11" s="1"/>
  <c r="K682" i="11"/>
  <c r="K684" i="11" s="1"/>
  <c r="M684" i="11" s="1"/>
  <c r="I675" i="11"/>
  <c r="I759" i="11" s="1"/>
  <c r="I674" i="11"/>
  <c r="I793" i="11" s="1"/>
  <c r="I673" i="11"/>
  <c r="I672" i="11"/>
  <c r="P672" i="11" s="1"/>
  <c r="R672" i="11" s="1"/>
  <c r="S670" i="11"/>
  <c r="I666" i="11"/>
  <c r="P666" i="11" s="1"/>
  <c r="R666" i="11" s="1"/>
  <c r="I665" i="11"/>
  <c r="I703" i="11" s="1"/>
  <c r="K703" i="11" s="1"/>
  <c r="P664" i="11"/>
  <c r="R664" i="11" s="1"/>
  <c r="K664" i="11"/>
  <c r="I647" i="11"/>
  <c r="K647" i="11" s="1"/>
  <c r="I645" i="11"/>
  <c r="K645" i="11" s="1"/>
  <c r="K636" i="11"/>
  <c r="I634" i="11"/>
  <c r="I633" i="11"/>
  <c r="K624" i="11"/>
  <c r="I623" i="11"/>
  <c r="K623" i="11" s="1"/>
  <c r="K607" i="11"/>
  <c r="K605" i="11"/>
  <c r="L587" i="11"/>
  <c r="M587" i="11" s="1"/>
  <c r="N587" i="11" s="1"/>
  <c r="O587" i="11" s="1"/>
  <c r="O584" i="11"/>
  <c r="N584" i="11"/>
  <c r="M584" i="11"/>
  <c r="L584" i="11"/>
  <c r="I584" i="11"/>
  <c r="H584" i="11"/>
  <c r="L568" i="11"/>
  <c r="M568" i="11" s="1"/>
  <c r="N568" i="11" s="1"/>
  <c r="O568" i="11" s="1"/>
  <c r="K565" i="11"/>
  <c r="K558" i="11"/>
  <c r="K553" i="11"/>
  <c r="I545" i="11"/>
  <c r="K545" i="11" s="1"/>
  <c r="J537" i="11"/>
  <c r="I522" i="11"/>
  <c r="K522" i="11" s="1"/>
  <c r="I521" i="11"/>
  <c r="I575" i="11" s="1"/>
  <c r="I520" i="11"/>
  <c r="K520" i="11" s="1"/>
  <c r="K514" i="11"/>
  <c r="K485" i="11"/>
  <c r="K484" i="11"/>
  <c r="N483" i="11"/>
  <c r="K483" i="11"/>
  <c r="K481" i="11"/>
  <c r="K478" i="11"/>
  <c r="K477" i="11"/>
  <c r="K476" i="11"/>
  <c r="K475" i="11"/>
  <c r="L463" i="11"/>
  <c r="L461" i="11"/>
  <c r="K459" i="11"/>
  <c r="K458" i="11"/>
  <c r="I428" i="11"/>
  <c r="I443" i="11" s="1"/>
  <c r="I427" i="11"/>
  <c r="K427" i="11" s="1"/>
  <c r="K426" i="11"/>
  <c r="I418" i="11"/>
  <c r="I436" i="11" s="1"/>
  <c r="I449" i="11" s="1"/>
  <c r="I467" i="11" s="1"/>
  <c r="I417" i="11"/>
  <c r="I435" i="11" s="1"/>
  <c r="I416" i="11"/>
  <c r="I434" i="11" s="1"/>
  <c r="L413" i="11"/>
  <c r="R410" i="11"/>
  <c r="K410" i="11"/>
  <c r="K409" i="11"/>
  <c r="R408" i="11"/>
  <c r="I400" i="11"/>
  <c r="K399" i="11"/>
  <c r="N391" i="11"/>
  <c r="I391" i="11" s="1"/>
  <c r="J391" i="11"/>
  <c r="K386" i="11"/>
  <c r="I376" i="11"/>
  <c r="K375" i="11"/>
  <c r="K361" i="11"/>
  <c r="K360" i="11"/>
  <c r="K349" i="11"/>
  <c r="I339" i="11"/>
  <c r="I350" i="11" s="1"/>
  <c r="K350" i="11" s="1"/>
  <c r="K338" i="11"/>
  <c r="I327" i="11"/>
  <c r="I367" i="11" s="1"/>
  <c r="K367" i="11" s="1"/>
  <c r="M323" i="11"/>
  <c r="K320" i="11"/>
  <c r="K319" i="11"/>
  <c r="I309" i="11"/>
  <c r="I328" i="11" s="1"/>
  <c r="I368" i="11" s="1"/>
  <c r="K368" i="11" s="1"/>
  <c r="K369" i="11" s="1"/>
  <c r="K370" i="11" s="1"/>
  <c r="I308" i="11"/>
  <c r="K308" i="11" s="1"/>
  <c r="S302" i="11"/>
  <c r="K302" i="11"/>
  <c r="K301" i="11"/>
  <c r="L302" i="11" s="1"/>
  <c r="R295" i="11"/>
  <c r="L291" i="11"/>
  <c r="L288" i="11"/>
  <c r="P284" i="11"/>
  <c r="P282" i="11"/>
  <c r="R282" i="11" s="1"/>
  <c r="K282" i="11"/>
  <c r="R281" i="11"/>
  <c r="I281" i="11"/>
  <c r="I663" i="11" s="1"/>
  <c r="L274" i="11"/>
  <c r="I270" i="11"/>
  <c r="I284" i="11" s="1"/>
  <c r="K284" i="11" s="1"/>
  <c r="K267" i="11"/>
  <c r="L261" i="11"/>
  <c r="K257" i="11"/>
  <c r="S249" i="11"/>
  <c r="L249" i="11"/>
  <c r="S247" i="11"/>
  <c r="R243" i="11"/>
  <c r="R240" i="11"/>
  <c r="L231" i="11"/>
  <c r="K215" i="11"/>
  <c r="L212" i="11"/>
  <c r="L211" i="11"/>
  <c r="I204" i="11"/>
  <c r="K204" i="11" s="1"/>
  <c r="L191" i="11"/>
  <c r="K189" i="11"/>
  <c r="K3020" i="27" s="1"/>
  <c r="L180" i="11"/>
  <c r="I171" i="11"/>
  <c r="K171" i="11" s="1"/>
  <c r="K188" i="11" s="1"/>
  <c r="I169" i="11"/>
  <c r="I869" i="11" s="1"/>
  <c r="I168" i="11"/>
  <c r="K168" i="11" s="1"/>
  <c r="I166" i="11"/>
  <c r="K166" i="11" s="1"/>
  <c r="I165" i="11"/>
  <c r="K165" i="11" s="1"/>
  <c r="I164" i="11"/>
  <c r="K164" i="11" s="1"/>
  <c r="K153" i="11"/>
  <c r="H143" i="11"/>
  <c r="L133" i="11"/>
  <c r="L126" i="11"/>
  <c r="M126" i="11" s="1"/>
  <c r="N126" i="11" s="1"/>
  <c r="I126" i="11"/>
  <c r="I1088" i="11" s="1"/>
  <c r="K1088" i="11" s="1"/>
  <c r="I125" i="11"/>
  <c r="I155" i="11" s="1"/>
  <c r="L113" i="11"/>
  <c r="M104" i="11"/>
  <c r="I104" i="11"/>
  <c r="I222" i="11" s="1"/>
  <c r="I100" i="11"/>
  <c r="I218" i="11" s="1"/>
  <c r="D450" i="81" s="1"/>
  <c r="I92" i="11"/>
  <c r="K94" i="11" s="1"/>
  <c r="L89" i="11"/>
  <c r="I86" i="11"/>
  <c r="K86" i="11" s="1"/>
  <c r="H86" i="11"/>
  <c r="I82" i="11"/>
  <c r="I205" i="11" s="1"/>
  <c r="K205" i="11" s="1"/>
  <c r="H82" i="11"/>
  <c r="H84" i="11" s="1"/>
  <c r="K81" i="11"/>
  <c r="H80" i="11"/>
  <c r="I79" i="11"/>
  <c r="I202" i="11" s="1"/>
  <c r="K202" i="11" s="1"/>
  <c r="H79" i="11"/>
  <c r="H78" i="11"/>
  <c r="H77" i="11"/>
  <c r="I76" i="11"/>
  <c r="I199" i="11" s="1"/>
  <c r="K199" i="11" s="1"/>
  <c r="H76" i="11"/>
  <c r="I75" i="11"/>
  <c r="I101" i="11" s="1"/>
  <c r="H75" i="11"/>
  <c r="I74" i="11"/>
  <c r="I197" i="11" s="1"/>
  <c r="K197" i="11" s="1"/>
  <c r="H74" i="11"/>
  <c r="L67" i="11"/>
  <c r="K65" i="11"/>
  <c r="K64" i="11"/>
  <c r="K63" i="11"/>
  <c r="K1030" i="11" s="1"/>
  <c r="R58" i="11"/>
  <c r="O57" i="11"/>
  <c r="O53" i="11"/>
  <c r="L52" i="11"/>
  <c r="P50" i="11"/>
  <c r="R50" i="11" s="1"/>
  <c r="K50" i="11"/>
  <c r="K1016" i="11" s="1"/>
  <c r="P42" i="11"/>
  <c r="R42" i="11" s="1"/>
  <c r="P41" i="11"/>
  <c r="R41" i="11" s="1"/>
  <c r="I41" i="11"/>
  <c r="K41" i="11" s="1"/>
  <c r="H41" i="11"/>
  <c r="P40" i="11"/>
  <c r="R40" i="11" s="1"/>
  <c r="K40" i="11"/>
  <c r="P39" i="11"/>
  <c r="R39" i="11" s="1"/>
  <c r="K38" i="11"/>
  <c r="K37" i="11"/>
  <c r="K36" i="11"/>
  <c r="K35" i="11"/>
  <c r="S32" i="11"/>
  <c r="T32" i="11" s="1"/>
  <c r="L28" i="11"/>
  <c r="R25" i="11"/>
  <c r="I25" i="11"/>
  <c r="K25" i="11" s="1"/>
  <c r="P24" i="11"/>
  <c r="R24" i="11" s="1"/>
  <c r="I24" i="11"/>
  <c r="K24" i="11" s="1"/>
  <c r="Q23" i="11"/>
  <c r="O23" i="11"/>
  <c r="O56" i="11" s="1"/>
  <c r="I23" i="11"/>
  <c r="K23" i="11" s="1"/>
  <c r="P22" i="11"/>
  <c r="R22" i="11" s="1"/>
  <c r="I21" i="11"/>
  <c r="K21" i="11" s="1"/>
  <c r="K61" i="11" s="1"/>
  <c r="P20" i="11"/>
  <c r="R20" i="11" s="1"/>
  <c r="K20" i="11"/>
  <c r="K49" i="11" s="1"/>
  <c r="K60" i="11" s="1"/>
  <c r="I19" i="11"/>
  <c r="I980" i="11" s="1"/>
  <c r="K980" i="11" s="1"/>
  <c r="P18" i="11"/>
  <c r="R18" i="11" s="1"/>
  <c r="K18" i="11"/>
  <c r="R17" i="11"/>
  <c r="P16" i="11"/>
  <c r="P49" i="11" s="1"/>
  <c r="R49" i="11" s="1"/>
  <c r="K16" i="11"/>
  <c r="P15" i="11"/>
  <c r="R15" i="11" s="1"/>
  <c r="I15" i="11"/>
  <c r="I77" i="11" s="1"/>
  <c r="I103" i="11" s="1"/>
  <c r="K14" i="11"/>
  <c r="K13" i="11"/>
  <c r="K12" i="1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4" i="1"/>
  <c r="AG45" i="1"/>
  <c r="AG47" i="1"/>
  <c r="AG48" i="1"/>
  <c r="AG49" i="1"/>
  <c r="AG50" i="1"/>
  <c r="AG51" i="1"/>
  <c r="AG53" i="1"/>
  <c r="AG54" i="1"/>
  <c r="AG55" i="1"/>
  <c r="AG56" i="1"/>
  <c r="AG57" i="1"/>
  <c r="AG58" i="1"/>
  <c r="AG59" i="1"/>
  <c r="AG60" i="1"/>
  <c r="AG61" i="1"/>
  <c r="AG62" i="1"/>
  <c r="AG63" i="1"/>
  <c r="AG64" i="1"/>
  <c r="AG65" i="1"/>
  <c r="AG66" i="1"/>
  <c r="AG9" i="1"/>
  <c r="D417" i="64"/>
  <c r="D542" i="64" s="1"/>
  <c r="C417" i="64"/>
  <c r="C416" i="64"/>
  <c r="C413" i="64"/>
  <c r="D413" i="64"/>
  <c r="F413" i="64" s="1"/>
  <c r="D412" i="64"/>
  <c r="D537" i="64" s="1"/>
  <c r="D411" i="64"/>
  <c r="C410" i="64"/>
  <c r="C535" i="64" s="1"/>
  <c r="D532" i="64"/>
  <c r="D407" i="64"/>
  <c r="F407" i="64" s="1"/>
  <c r="D528" i="64"/>
  <c r="D506" i="64"/>
  <c r="C148" i="64"/>
  <c r="C291" i="64"/>
  <c r="C414" i="64" s="1"/>
  <c r="D178" i="64"/>
  <c r="D256" i="64" s="1"/>
  <c r="D265" i="64" s="1"/>
  <c r="D64" i="64"/>
  <c r="AP36" i="64" s="1"/>
  <c r="AR36" i="64" s="1"/>
  <c r="E10" i="50"/>
  <c r="G71" i="50"/>
  <c r="G7" i="50"/>
  <c r="A9" i="50" s="1"/>
  <c r="F15" i="50"/>
  <c r="F11" i="50"/>
  <c r="L4077" i="1"/>
  <c r="I4070" i="1"/>
  <c r="K4070" i="1" s="1"/>
  <c r="I4068" i="1"/>
  <c r="J4061" i="1"/>
  <c r="J4062" i="1" s="1"/>
  <c r="F4068" i="1" s="1"/>
  <c r="K4059" i="1"/>
  <c r="J4059" i="1"/>
  <c r="F4067" i="1" s="1"/>
  <c r="J4056" i="1"/>
  <c r="F4066" i="1" s="1"/>
  <c r="J4051" i="1"/>
  <c r="J4050" i="1"/>
  <c r="I4027" i="1"/>
  <c r="K4027" i="1" s="1"/>
  <c r="K4012" i="1"/>
  <c r="I4010" i="1"/>
  <c r="I4025" i="1" s="1"/>
  <c r="K3994" i="1"/>
  <c r="I3965" i="1"/>
  <c r="I3982" i="1" s="1"/>
  <c r="I3963" i="1"/>
  <c r="K3963" i="1" s="1"/>
  <c r="H3963" i="1"/>
  <c r="H3959" i="1"/>
  <c r="K3949" i="1"/>
  <c r="K3947" i="1"/>
  <c r="I3944" i="1"/>
  <c r="I3960" i="1" s="1"/>
  <c r="I3977" i="1" s="1"/>
  <c r="K3977" i="1" s="1"/>
  <c r="I3943" i="1"/>
  <c r="K3943" i="1" s="1"/>
  <c r="I3942" i="1"/>
  <c r="I3958" i="1" s="1"/>
  <c r="I3941" i="1"/>
  <c r="I3957" i="1" s="1"/>
  <c r="K3929" i="1"/>
  <c r="K3926" i="1"/>
  <c r="K3925" i="1"/>
  <c r="K3924" i="1"/>
  <c r="K3923" i="1"/>
  <c r="E3898" i="1"/>
  <c r="G3898" i="1" s="1"/>
  <c r="G3897" i="1"/>
  <c r="H3886" i="1"/>
  <c r="H3867" i="1"/>
  <c r="H3866" i="1"/>
  <c r="H3865" i="1"/>
  <c r="H3864" i="1"/>
  <c r="I3862" i="1"/>
  <c r="H3856" i="1"/>
  <c r="H3877" i="1" s="1"/>
  <c r="H3893" i="1" s="1"/>
  <c r="J3893" i="1" s="1"/>
  <c r="H3846" i="1"/>
  <c r="H3845" i="1"/>
  <c r="H3844" i="1"/>
  <c r="H3843" i="1"/>
  <c r="I3841" i="1"/>
  <c r="K3822" i="1"/>
  <c r="K3806" i="1"/>
  <c r="K3790" i="1"/>
  <c r="K3789" i="1"/>
  <c r="K3788" i="1"/>
  <c r="K3787" i="1"/>
  <c r="K3786" i="1"/>
  <c r="K3785" i="1"/>
  <c r="K3784" i="1"/>
  <c r="K3783" i="1"/>
  <c r="K3782" i="1"/>
  <c r="K3767" i="1"/>
  <c r="K3766" i="1"/>
  <c r="K3764" i="1"/>
  <c r="K3765" i="1" s="1"/>
  <c r="I3762" i="1"/>
  <c r="K3762" i="1" s="1"/>
  <c r="K3763" i="1" s="1"/>
  <c r="K3735" i="1"/>
  <c r="V3721" i="1"/>
  <c r="X3721" i="1" s="1"/>
  <c r="V3720" i="1"/>
  <c r="X3720" i="1" s="1"/>
  <c r="V3719" i="1"/>
  <c r="X3719" i="1" s="1"/>
  <c r="R3719" i="1"/>
  <c r="V3718" i="1"/>
  <c r="X3718" i="1" s="1"/>
  <c r="J3718" i="1"/>
  <c r="V3717" i="1"/>
  <c r="R3717" i="1"/>
  <c r="K3717" i="1"/>
  <c r="J3717" i="1"/>
  <c r="R3716" i="1"/>
  <c r="K3716" i="1"/>
  <c r="J3716" i="1"/>
  <c r="R3715" i="1"/>
  <c r="K3715" i="1"/>
  <c r="J3715" i="1"/>
  <c r="R3714" i="1"/>
  <c r="K3714" i="1"/>
  <c r="J3714" i="1"/>
  <c r="N3710" i="1"/>
  <c r="X3707" i="1"/>
  <c r="X3706" i="1"/>
  <c r="X3705" i="1"/>
  <c r="X3704" i="1"/>
  <c r="K3704" i="1"/>
  <c r="V3695" i="1"/>
  <c r="X3695" i="1" s="1"/>
  <c r="V3694" i="1"/>
  <c r="X3694" i="1" s="1"/>
  <c r="H3694" i="1"/>
  <c r="V3693" i="1"/>
  <c r="X3693" i="1" s="1"/>
  <c r="I3693" i="1"/>
  <c r="H3693" i="1"/>
  <c r="F3693" i="1"/>
  <c r="V3692" i="1"/>
  <c r="X3692" i="1" s="1"/>
  <c r="I3692" i="1"/>
  <c r="H3692" i="1"/>
  <c r="F3692" i="1"/>
  <c r="V3691" i="1"/>
  <c r="X3691" i="1" s="1"/>
  <c r="V3689" i="1"/>
  <c r="X3689" i="1" s="1"/>
  <c r="H3689" i="1"/>
  <c r="V3688" i="1"/>
  <c r="X3688" i="1" s="1"/>
  <c r="H3688" i="1"/>
  <c r="V3687" i="1"/>
  <c r="X3687" i="1" s="1"/>
  <c r="H3687" i="1"/>
  <c r="V3686" i="1"/>
  <c r="X3686" i="1" s="1"/>
  <c r="H3686" i="1"/>
  <c r="F3686" i="1"/>
  <c r="K3686" i="1" s="1"/>
  <c r="V3685" i="1"/>
  <c r="X3685" i="1" s="1"/>
  <c r="F3684" i="1"/>
  <c r="K3684" i="1" s="1"/>
  <c r="H3683" i="1"/>
  <c r="H3682" i="1"/>
  <c r="F3682" i="1"/>
  <c r="K3672" i="1"/>
  <c r="K3671" i="1"/>
  <c r="AE3668" i="1"/>
  <c r="X3665" i="1"/>
  <c r="K3665" i="1"/>
  <c r="X3664" i="1"/>
  <c r="X3663" i="1"/>
  <c r="K3663" i="1"/>
  <c r="X3662" i="1"/>
  <c r="X3661" i="1"/>
  <c r="AE3660" i="1"/>
  <c r="AG3660" i="1" s="1"/>
  <c r="AG3659" i="1"/>
  <c r="X3659" i="1"/>
  <c r="AG3658" i="1"/>
  <c r="X3658" i="1"/>
  <c r="AG3657" i="1"/>
  <c r="X3657" i="1"/>
  <c r="AE3656" i="1"/>
  <c r="AG3656" i="1" s="1"/>
  <c r="X3656" i="1"/>
  <c r="AE3655" i="1"/>
  <c r="AG3655" i="1" s="1"/>
  <c r="AE3654" i="1"/>
  <c r="AG3654" i="1" s="1"/>
  <c r="V3654" i="1"/>
  <c r="AE3653" i="1" s="1"/>
  <c r="AG3653" i="1" s="1"/>
  <c r="X3645" i="1"/>
  <c r="X3644" i="1"/>
  <c r="X3643" i="1"/>
  <c r="X3642" i="1"/>
  <c r="X3641" i="1"/>
  <c r="X3640" i="1"/>
  <c r="I3640" i="1"/>
  <c r="K3640" i="1" s="1"/>
  <c r="X3639" i="1"/>
  <c r="I3629" i="1"/>
  <c r="K3629" i="1" s="1"/>
  <c r="I3628" i="1"/>
  <c r="K3628" i="1" s="1"/>
  <c r="K3627" i="1"/>
  <c r="H3625" i="1"/>
  <c r="J3618" i="1"/>
  <c r="W3617" i="1"/>
  <c r="S3618" i="1" s="1"/>
  <c r="S3619" i="1" s="1"/>
  <c r="X3612" i="1"/>
  <c r="K3608" i="1"/>
  <c r="K3607" i="1"/>
  <c r="K3606" i="1"/>
  <c r="I3605" i="1"/>
  <c r="K3605" i="1" s="1"/>
  <c r="K3604" i="1"/>
  <c r="I3603" i="1"/>
  <c r="I3625" i="1" s="1"/>
  <c r="K3625" i="1" s="1"/>
  <c r="V3602" i="1"/>
  <c r="S3603" i="1" s="1"/>
  <c r="S3604" i="1" s="1"/>
  <c r="Y3597" i="1"/>
  <c r="X3595" i="1"/>
  <c r="V3585" i="1"/>
  <c r="S3586" i="1" s="1"/>
  <c r="S3587" i="1" s="1"/>
  <c r="I3575" i="1"/>
  <c r="I3585" i="1" s="1"/>
  <c r="K3585" i="1" s="1"/>
  <c r="I3574" i="1"/>
  <c r="I3584" i="1" s="1"/>
  <c r="K3584" i="1" s="1"/>
  <c r="V3570" i="1"/>
  <c r="S3572" i="1" s="1"/>
  <c r="R3566" i="1"/>
  <c r="K3563" i="1"/>
  <c r="R3561" i="1"/>
  <c r="I3561" i="1"/>
  <c r="K3558" i="1"/>
  <c r="AE3554" i="1"/>
  <c r="AB3555" i="1" s="1"/>
  <c r="V3554" i="1"/>
  <c r="S3555" i="1" s="1"/>
  <c r="M3551" i="1"/>
  <c r="M3550" i="1"/>
  <c r="M3549" i="1"/>
  <c r="M3548" i="1"/>
  <c r="M3547" i="1"/>
  <c r="M3546" i="1"/>
  <c r="M3545" i="1"/>
  <c r="P3542" i="1"/>
  <c r="M3544" i="1" s="1"/>
  <c r="AE3539" i="1"/>
  <c r="AE3555" i="1" s="1"/>
  <c r="I3539" i="1"/>
  <c r="AE3538" i="1"/>
  <c r="V3538" i="1"/>
  <c r="S3539" i="1" s="1"/>
  <c r="I3538" i="1"/>
  <c r="F3539" i="1" s="1"/>
  <c r="I3530" i="1"/>
  <c r="I3546" i="1" s="1"/>
  <c r="P3550" i="1" s="1"/>
  <c r="R3550" i="1" s="1"/>
  <c r="I3528" i="1"/>
  <c r="P3532" i="1" s="1"/>
  <c r="R3532" i="1" s="1"/>
  <c r="P3527" i="1"/>
  <c r="I3527" i="1"/>
  <c r="P3526" i="1"/>
  <c r="M3527" i="1" s="1"/>
  <c r="M3528" i="1" s="1"/>
  <c r="I3522" i="1"/>
  <c r="F3523" i="1" s="1"/>
  <c r="V3518" i="1"/>
  <c r="S3520" i="1" s="1"/>
  <c r="K3509" i="1"/>
  <c r="M3508" i="1"/>
  <c r="I3490" i="1"/>
  <c r="K3490" i="1" s="1"/>
  <c r="I3489" i="1"/>
  <c r="K3489" i="1" s="1"/>
  <c r="I3488" i="1"/>
  <c r="K3488" i="1" s="1"/>
  <c r="I3487" i="1"/>
  <c r="K3487" i="1" s="1"/>
  <c r="I3486" i="1"/>
  <c r="K3486" i="1" s="1"/>
  <c r="I3485" i="1"/>
  <c r="K3485" i="1" s="1"/>
  <c r="K3482" i="1"/>
  <c r="J3480" i="1"/>
  <c r="J3479" i="1"/>
  <c r="J3478" i="1"/>
  <c r="I3467" i="1"/>
  <c r="P3463" i="1"/>
  <c r="R3463" i="1" s="1"/>
  <c r="I3463" i="1"/>
  <c r="P3461" i="1"/>
  <c r="R3461" i="1" s="1"/>
  <c r="K3455" i="1"/>
  <c r="P3441" i="1"/>
  <c r="R3441" i="1" s="1"/>
  <c r="P3440" i="1"/>
  <c r="R3440" i="1" s="1"/>
  <c r="R3439" i="1"/>
  <c r="K3428" i="1"/>
  <c r="K3427" i="1"/>
  <c r="K3426" i="1"/>
  <c r="K3425" i="1"/>
  <c r="I3423" i="1"/>
  <c r="I3417" i="1"/>
  <c r="I3416" i="1"/>
  <c r="I3412" i="1"/>
  <c r="I3411" i="1"/>
  <c r="I3410" i="1"/>
  <c r="F3421" i="1" s="1"/>
  <c r="I3409" i="1"/>
  <c r="F3424" i="1" s="1"/>
  <c r="I3367" i="1"/>
  <c r="K3341" i="1"/>
  <c r="P3328" i="1"/>
  <c r="R3328" i="1" s="1"/>
  <c r="P3327" i="1"/>
  <c r="R3327" i="1" s="1"/>
  <c r="K3321" i="1"/>
  <c r="I3311" i="1"/>
  <c r="I3310" i="1"/>
  <c r="I3308" i="1"/>
  <c r="K3308" i="1" s="1"/>
  <c r="I3305" i="1"/>
  <c r="K3305" i="1" s="1"/>
  <c r="I3304" i="1"/>
  <c r="K3304" i="1" s="1"/>
  <c r="I3303" i="1"/>
  <c r="K3303" i="1" s="1"/>
  <c r="I3302" i="1"/>
  <c r="K3302" i="1" s="1"/>
  <c r="P3294" i="1"/>
  <c r="P3326" i="1" s="1"/>
  <c r="I3291" i="1"/>
  <c r="K3290" i="1"/>
  <c r="K3289" i="1"/>
  <c r="K3288" i="1"/>
  <c r="K3287" i="1"/>
  <c r="K3286" i="1"/>
  <c r="K3285" i="1"/>
  <c r="K3282" i="1"/>
  <c r="P3268" i="1"/>
  <c r="I3328" i="1" s="1"/>
  <c r="P3267" i="1"/>
  <c r="I3327" i="1" s="1"/>
  <c r="I3267" i="1"/>
  <c r="K3267" i="1" s="1"/>
  <c r="L3233" i="1" s="1"/>
  <c r="P3266" i="1"/>
  <c r="I3326" i="1" s="1"/>
  <c r="P3265" i="1"/>
  <c r="I3325" i="1" s="1"/>
  <c r="K3263" i="1"/>
  <c r="R3261" i="1"/>
  <c r="V3258" i="1"/>
  <c r="X3258" i="1" s="1"/>
  <c r="V3257" i="1"/>
  <c r="X3257" i="1" s="1"/>
  <c r="V3256" i="1"/>
  <c r="X3256" i="1" s="1"/>
  <c r="V3255" i="1"/>
  <c r="X3255" i="1" s="1"/>
  <c r="V3254" i="1"/>
  <c r="X3254" i="1" s="1"/>
  <c r="V3253" i="1"/>
  <c r="X3253" i="1" s="1"/>
  <c r="V3250" i="1"/>
  <c r="X3250" i="1" s="1"/>
  <c r="L3237" i="1"/>
  <c r="P3234" i="1"/>
  <c r="P3448" i="1" s="1"/>
  <c r="R3448" i="1" s="1"/>
  <c r="P3233" i="1"/>
  <c r="P3447" i="1" s="1"/>
  <c r="R3447" i="1" s="1"/>
  <c r="P3232" i="1"/>
  <c r="P3446" i="1" s="1"/>
  <c r="R3446" i="1" s="1"/>
  <c r="P3231" i="1"/>
  <c r="P3445" i="1" s="1"/>
  <c r="R3445" i="1" s="1"/>
  <c r="P3230" i="1"/>
  <c r="P3297" i="1" s="1"/>
  <c r="P3229" i="1"/>
  <c r="R3227" i="1"/>
  <c r="R3226" i="1"/>
  <c r="R3225" i="1"/>
  <c r="P3224" i="1"/>
  <c r="P3438" i="1" s="1"/>
  <c r="R3438" i="1" s="1"/>
  <c r="L3211" i="1"/>
  <c r="P3200" i="1"/>
  <c r="P3235" i="1" s="1"/>
  <c r="S3199" i="1"/>
  <c r="T3199" i="1" s="1"/>
  <c r="R3199" i="1"/>
  <c r="R3198" i="1"/>
  <c r="R3197" i="1"/>
  <c r="R3196" i="1"/>
  <c r="L3195" i="1"/>
  <c r="R3192" i="1"/>
  <c r="R3191" i="1"/>
  <c r="K3157" i="1"/>
  <c r="I3156" i="1"/>
  <c r="P3163" i="1" s="1"/>
  <c r="R3163" i="1" s="1"/>
  <c r="I3155" i="1"/>
  <c r="U3154" i="1"/>
  <c r="I3154" i="1"/>
  <c r="P3161" i="1" s="1"/>
  <c r="U3153" i="1"/>
  <c r="I3153" i="1"/>
  <c r="K3153" i="1" s="1"/>
  <c r="U3152" i="1"/>
  <c r="I3152" i="1"/>
  <c r="P3159" i="1" s="1"/>
  <c r="I3151" i="1"/>
  <c r="K3151" i="1" s="1"/>
  <c r="U3150" i="1"/>
  <c r="U3149" i="1"/>
  <c r="I3149" i="1"/>
  <c r="F3149" i="1"/>
  <c r="P3148" i="1"/>
  <c r="P3147" i="1"/>
  <c r="P3144" i="1"/>
  <c r="M3155" i="1" s="1"/>
  <c r="P3142" i="1"/>
  <c r="M3154" i="1" s="1"/>
  <c r="P3141" i="1"/>
  <c r="M3157" i="1" s="1"/>
  <c r="V3137" i="1"/>
  <c r="X3137" i="1" s="1"/>
  <c r="V3135" i="1"/>
  <c r="X3135" i="1" s="1"/>
  <c r="R3121" i="1"/>
  <c r="K3121" i="1"/>
  <c r="X3120" i="1"/>
  <c r="R3120" i="1"/>
  <c r="K3120" i="1"/>
  <c r="V3119" i="1"/>
  <c r="X3119" i="1" s="1"/>
  <c r="X3118" i="1"/>
  <c r="V3116" i="1"/>
  <c r="I4067" i="1" s="1"/>
  <c r="K4067" i="1" s="1"/>
  <c r="I3111" i="1"/>
  <c r="K3111" i="1" s="1"/>
  <c r="V3109" i="1"/>
  <c r="V3108" i="1"/>
  <c r="K3106" i="1"/>
  <c r="V3105" i="1"/>
  <c r="V3103" i="1"/>
  <c r="V3102" i="1"/>
  <c r="K3083" i="1"/>
  <c r="F3076" i="1"/>
  <c r="F3057" i="1"/>
  <c r="I3056" i="1"/>
  <c r="K3018" i="1"/>
  <c r="K3042" i="1" s="1"/>
  <c r="K3015" i="1"/>
  <c r="K3013" i="1"/>
  <c r="K3010" i="1"/>
  <c r="K2996" i="1"/>
  <c r="I2971" i="1"/>
  <c r="I2968" i="1"/>
  <c r="I2965" i="1"/>
  <c r="I2964" i="1"/>
  <c r="P2926" i="1"/>
  <c r="P2925" i="1"/>
  <c r="P2924" i="1"/>
  <c r="I2885" i="1"/>
  <c r="K2885" i="1" s="1"/>
  <c r="K2884" i="1"/>
  <c r="I2872" i="1"/>
  <c r="K2872" i="1" s="1"/>
  <c r="I2871" i="1"/>
  <c r="K2871" i="1" s="1"/>
  <c r="I2870" i="1"/>
  <c r="K2870" i="1" s="1"/>
  <c r="I2869" i="1"/>
  <c r="K2869" i="1" s="1"/>
  <c r="K2867" i="1"/>
  <c r="M2856" i="1"/>
  <c r="M2855" i="1"/>
  <c r="I2855" i="1"/>
  <c r="K2835" i="1"/>
  <c r="J2832" i="1"/>
  <c r="P2831" i="1"/>
  <c r="P2830" i="1"/>
  <c r="R2830" i="1" s="1"/>
  <c r="P2829" i="1"/>
  <c r="P2828" i="1"/>
  <c r="P2861" i="1" s="1"/>
  <c r="R2861" i="1" s="1"/>
  <c r="P2827" i="1"/>
  <c r="P2860" i="1" s="1"/>
  <c r="R2860" i="1" s="1"/>
  <c r="P2826" i="1"/>
  <c r="R2826" i="1" s="1"/>
  <c r="K2824" i="1"/>
  <c r="M2823" i="1"/>
  <c r="K2823" i="1"/>
  <c r="M2822" i="1"/>
  <c r="K2822" i="1"/>
  <c r="K2821" i="1"/>
  <c r="K2820" i="1"/>
  <c r="K2819" i="1"/>
  <c r="F2815" i="1"/>
  <c r="S2783" i="1" s="1"/>
  <c r="AE2796" i="1"/>
  <c r="AG2796" i="1" s="1"/>
  <c r="AE2795" i="1"/>
  <c r="AG2795" i="1" s="1"/>
  <c r="AE2794" i="1"/>
  <c r="AG2794" i="1" s="1"/>
  <c r="AE2793" i="1"/>
  <c r="AG2793" i="1" s="1"/>
  <c r="S2793" i="1"/>
  <c r="K2793" i="1"/>
  <c r="AE2792" i="1"/>
  <c r="AG2792" i="1" s="1"/>
  <c r="V2792" i="1"/>
  <c r="S2792" i="1"/>
  <c r="AE2791" i="1"/>
  <c r="AG2791" i="1" s="1"/>
  <c r="V2791" i="1"/>
  <c r="S2791" i="1"/>
  <c r="X2791" i="1" s="1"/>
  <c r="V2790" i="1"/>
  <c r="S2790" i="1"/>
  <c r="AE2789" i="1"/>
  <c r="AG2789" i="1" s="1"/>
  <c r="V2789" i="1"/>
  <c r="S2789" i="1"/>
  <c r="V2788" i="1"/>
  <c r="S2788" i="1"/>
  <c r="V2787" i="1"/>
  <c r="S2787" i="1"/>
  <c r="S2786" i="1"/>
  <c r="V2785" i="1"/>
  <c r="X2785" i="1" s="1"/>
  <c r="S2782" i="1"/>
  <c r="L2779" i="1"/>
  <c r="F2816" i="1" s="1"/>
  <c r="Y2778" i="1"/>
  <c r="K2775" i="1"/>
  <c r="K2774" i="1"/>
  <c r="E2758" i="1"/>
  <c r="E2760" i="1" s="1"/>
  <c r="E2756" i="1"/>
  <c r="E2757" i="1" s="1"/>
  <c r="I2734" i="1"/>
  <c r="K2734" i="1" s="1"/>
  <c r="I2718" i="1"/>
  <c r="K2718" i="1" s="1"/>
  <c r="I2712" i="1"/>
  <c r="L2689" i="1"/>
  <c r="K2686" i="1"/>
  <c r="I2681" i="1"/>
  <c r="K2681" i="1" s="1"/>
  <c r="I2671" i="1"/>
  <c r="I2670" i="1"/>
  <c r="I2669" i="1"/>
  <c r="I3107" i="1" s="1"/>
  <c r="K3107" i="1" s="1"/>
  <c r="I2668" i="1"/>
  <c r="K2668" i="1" s="1"/>
  <c r="K2666" i="1"/>
  <c r="AE2660" i="1"/>
  <c r="AG2660" i="1" s="1"/>
  <c r="AG2658" i="1"/>
  <c r="AG2657" i="1"/>
  <c r="AG2656" i="1"/>
  <c r="AG2655" i="1"/>
  <c r="AG2654" i="1"/>
  <c r="AB2650" i="1"/>
  <c r="AE2646" i="1"/>
  <c r="AE2645" i="1"/>
  <c r="P2643" i="1"/>
  <c r="I2643" i="1"/>
  <c r="V2611" i="1" s="1"/>
  <c r="Z2609" i="1" s="1"/>
  <c r="I2642" i="1"/>
  <c r="P2649" i="1" s="1"/>
  <c r="R2649" i="1" s="1"/>
  <c r="AE2641" i="1"/>
  <c r="M2641" i="1"/>
  <c r="I2641" i="1"/>
  <c r="K2641" i="1" s="1"/>
  <c r="AE2640" i="1"/>
  <c r="I2640" i="1"/>
  <c r="P2647" i="1" s="1"/>
  <c r="R2647" i="1" s="1"/>
  <c r="I2639" i="1"/>
  <c r="P2646" i="1" s="1"/>
  <c r="R2646" i="1" s="1"/>
  <c r="AE2638" i="1"/>
  <c r="AB2653" i="1" s="1"/>
  <c r="P2638" i="1"/>
  <c r="M2643" i="1" s="1"/>
  <c r="R2643" i="1" s="1"/>
  <c r="I2638" i="1"/>
  <c r="K2636" i="1"/>
  <c r="P2633" i="1"/>
  <c r="M2642" i="1" s="1"/>
  <c r="K2630" i="1"/>
  <c r="I2630" i="1"/>
  <c r="I2631" i="1" s="1"/>
  <c r="I2626" i="1"/>
  <c r="AE2624" i="1"/>
  <c r="AG2624" i="1" s="1"/>
  <c r="AB2616" i="1"/>
  <c r="AE2612" i="1"/>
  <c r="AE2611" i="1"/>
  <c r="K2611" i="1"/>
  <c r="X2610" i="1"/>
  <c r="I2610" i="1"/>
  <c r="H3855" i="1" s="1"/>
  <c r="V2609" i="1"/>
  <c r="X2609" i="1" s="1"/>
  <c r="Z2607" i="1" s="1"/>
  <c r="Z2608" i="1"/>
  <c r="V2608" i="1"/>
  <c r="AE2622" i="1" s="1"/>
  <c r="AG2622" i="1" s="1"/>
  <c r="AE2607" i="1"/>
  <c r="AE2606" i="1"/>
  <c r="I2605" i="1"/>
  <c r="AE2604" i="1"/>
  <c r="AB2619" i="1" s="1"/>
  <c r="V2604" i="1"/>
  <c r="AE2618" i="1" s="1"/>
  <c r="Z2602" i="1"/>
  <c r="S2602" i="1"/>
  <c r="V2598" i="1"/>
  <c r="V2597" i="1"/>
  <c r="V2593" i="1"/>
  <c r="V2592" i="1"/>
  <c r="V2594" i="1" s="1"/>
  <c r="S2603" i="1" s="1"/>
  <c r="V2590" i="1"/>
  <c r="S2605" i="1" s="1"/>
  <c r="O2581" i="1"/>
  <c r="P2577" i="1"/>
  <c r="R2577" i="1" s="1"/>
  <c r="K2576" i="1"/>
  <c r="H2575" i="1"/>
  <c r="P2570" i="1"/>
  <c r="I2570" i="1"/>
  <c r="K2544" i="1"/>
  <c r="K2541" i="1"/>
  <c r="I2535" i="1"/>
  <c r="N2523" i="1"/>
  <c r="R2518" i="1"/>
  <c r="P2518" i="1"/>
  <c r="K2515" i="1"/>
  <c r="R2511" i="1"/>
  <c r="K2511" i="1"/>
  <c r="I2510" i="1"/>
  <c r="P2517" i="1" s="1"/>
  <c r="R2517" i="1" s="1"/>
  <c r="P2508" i="1"/>
  <c r="P2507" i="1"/>
  <c r="P2506" i="1"/>
  <c r="P2505" i="1"/>
  <c r="I2504" i="1"/>
  <c r="H2488" i="1"/>
  <c r="I2480" i="1"/>
  <c r="I2482" i="1" s="1"/>
  <c r="F2486" i="1" s="1"/>
  <c r="H2473" i="1"/>
  <c r="I2470" i="1"/>
  <c r="I2469" i="1"/>
  <c r="I2468" i="1"/>
  <c r="I2467" i="1"/>
  <c r="I2463" i="1"/>
  <c r="I2443" i="1"/>
  <c r="K2443" i="1" s="1"/>
  <c r="R2438" i="1"/>
  <c r="R2430" i="1"/>
  <c r="K2423" i="1"/>
  <c r="R2409" i="1"/>
  <c r="I2409" i="1"/>
  <c r="K2409" i="1" s="1"/>
  <c r="R2408" i="1"/>
  <c r="R2407" i="1"/>
  <c r="R2406" i="1"/>
  <c r="R2405" i="1"/>
  <c r="R2404" i="1"/>
  <c r="R2403" i="1"/>
  <c r="R2402" i="1"/>
  <c r="R2401" i="1"/>
  <c r="R2400" i="1"/>
  <c r="R2399" i="1"/>
  <c r="R2398" i="1"/>
  <c r="K2398" i="1"/>
  <c r="R2397" i="1"/>
  <c r="R2396" i="1"/>
  <c r="R2395" i="1"/>
  <c r="R2394" i="1"/>
  <c r="R2393" i="1"/>
  <c r="E2393" i="1"/>
  <c r="E2394" i="1" s="1"/>
  <c r="R2392" i="1"/>
  <c r="K2389" i="1"/>
  <c r="K2388" i="1"/>
  <c r="P2373" i="1"/>
  <c r="R2373" i="1" s="1"/>
  <c r="P2372" i="1"/>
  <c r="R2372" i="1" s="1"/>
  <c r="K2367" i="1"/>
  <c r="K2366" i="1"/>
  <c r="K2365" i="1"/>
  <c r="I2348" i="1"/>
  <c r="K2348" i="1" s="1"/>
  <c r="D2348" i="1"/>
  <c r="R2346" i="1"/>
  <c r="R2335" i="1"/>
  <c r="K2328" i="1"/>
  <c r="E2314" i="1"/>
  <c r="K2313" i="1"/>
  <c r="K2312" i="1"/>
  <c r="K2311" i="1"/>
  <c r="I2310" i="1"/>
  <c r="K2310" i="1" s="1"/>
  <c r="L2308" i="1"/>
  <c r="L2309" i="1" s="1"/>
  <c r="I2300" i="1"/>
  <c r="K2300" i="1" s="1"/>
  <c r="H2300" i="1"/>
  <c r="O2300" i="1" s="1"/>
  <c r="I2298" i="1"/>
  <c r="K2298" i="1" s="1"/>
  <c r="R2296" i="1"/>
  <c r="K2296" i="1"/>
  <c r="L2271" i="1"/>
  <c r="L2261" i="1"/>
  <c r="L2260" i="1"/>
  <c r="M2256" i="1"/>
  <c r="K2249" i="1"/>
  <c r="I2248" i="1"/>
  <c r="K2248" i="1" s="1"/>
  <c r="I2247" i="1"/>
  <c r="K2247" i="1" s="1"/>
  <c r="I2246" i="1"/>
  <c r="K2246" i="1" s="1"/>
  <c r="I2245" i="1"/>
  <c r="K2245" i="1" s="1"/>
  <c r="I2222" i="1"/>
  <c r="K2222" i="1" s="1"/>
  <c r="K2226" i="1" s="1"/>
  <c r="C414" i="55" s="1"/>
  <c r="I2213" i="1"/>
  <c r="K2213" i="1" s="1"/>
  <c r="K2217" i="1" s="1"/>
  <c r="C413" i="55" s="1"/>
  <c r="I2203" i="1"/>
  <c r="K2203" i="1" s="1"/>
  <c r="K2207" i="1" s="1"/>
  <c r="C412" i="55" s="1"/>
  <c r="J2198" i="1"/>
  <c r="K2198" i="1" s="1"/>
  <c r="K2201" i="1" s="1"/>
  <c r="I2190" i="1"/>
  <c r="K2190" i="1" s="1"/>
  <c r="K2194" i="1" s="1"/>
  <c r="C409" i="55" s="1"/>
  <c r="I2177" i="1"/>
  <c r="K2177" i="1" s="1"/>
  <c r="H2175" i="1"/>
  <c r="I2164" i="1"/>
  <c r="K2164" i="1" s="1"/>
  <c r="R2152" i="1"/>
  <c r="I2150" i="1"/>
  <c r="P2157" i="1" s="1"/>
  <c r="R2157" i="1" s="1"/>
  <c r="I2145" i="1"/>
  <c r="K2145" i="1" s="1"/>
  <c r="I2130" i="1"/>
  <c r="K2130" i="1" s="1"/>
  <c r="I2125" i="1"/>
  <c r="K2125" i="1" s="1"/>
  <c r="I2117" i="1"/>
  <c r="I2105" i="1"/>
  <c r="K2105" i="1" s="1"/>
  <c r="K2097" i="1"/>
  <c r="K2096" i="1"/>
  <c r="I2095" i="1"/>
  <c r="K2095" i="1" s="1"/>
  <c r="I2094" i="1"/>
  <c r="K2094" i="1" s="1"/>
  <c r="P2081" i="1"/>
  <c r="P2080" i="1"/>
  <c r="I2077" i="1"/>
  <c r="I2076" i="1"/>
  <c r="I2075" i="1"/>
  <c r="I2074" i="1"/>
  <c r="P2073" i="1"/>
  <c r="M2083" i="1" s="1"/>
  <c r="P2072" i="1"/>
  <c r="M2082" i="1" s="1"/>
  <c r="P2071" i="1"/>
  <c r="M2081" i="1" s="1"/>
  <c r="P2070" i="1"/>
  <c r="M2080" i="1" s="1"/>
  <c r="P2068" i="1"/>
  <c r="M2079" i="1" s="1"/>
  <c r="P2065" i="1"/>
  <c r="P2064" i="1"/>
  <c r="P2060" i="1"/>
  <c r="P2059" i="1"/>
  <c r="P2056" i="1"/>
  <c r="P2055" i="1"/>
  <c r="I2053" i="1"/>
  <c r="I2052" i="1"/>
  <c r="P2051" i="1"/>
  <c r="K2051" i="1"/>
  <c r="P2050" i="1"/>
  <c r="I2050" i="1"/>
  <c r="P2048" i="1"/>
  <c r="P2033" i="1"/>
  <c r="I2025" i="1"/>
  <c r="P2015" i="1"/>
  <c r="I2006" i="1"/>
  <c r="K2006" i="1" s="1"/>
  <c r="P1997" i="1"/>
  <c r="P1991" i="1"/>
  <c r="P1989" i="1"/>
  <c r="I1987" i="1"/>
  <c r="P1987" i="1" s="1"/>
  <c r="P1976" i="1"/>
  <c r="I1969" i="1"/>
  <c r="K1969" i="1" s="1"/>
  <c r="N1944" i="1"/>
  <c r="K1942" i="1"/>
  <c r="K1940" i="1"/>
  <c r="K1937" i="1"/>
  <c r="K1926" i="1"/>
  <c r="I1923" i="1"/>
  <c r="I1924" i="1" s="1"/>
  <c r="K1924" i="1" s="1"/>
  <c r="P1910" i="1"/>
  <c r="R1910" i="1" s="1"/>
  <c r="I1910" i="1"/>
  <c r="K1910" i="1" s="1"/>
  <c r="R1909" i="1"/>
  <c r="I1909" i="1"/>
  <c r="K1909" i="1" s="1"/>
  <c r="I1908" i="1"/>
  <c r="K1908" i="1" s="1"/>
  <c r="P1898" i="1"/>
  <c r="I1896" i="1"/>
  <c r="I1897" i="1" s="1"/>
  <c r="K1897" i="1" s="1"/>
  <c r="K1896" i="1"/>
  <c r="R1891" i="1"/>
  <c r="R1890" i="1"/>
  <c r="R1888" i="1"/>
  <c r="I1888" i="1"/>
  <c r="K1887" i="1"/>
  <c r="P1879" i="1"/>
  <c r="R1879" i="1" s="1"/>
  <c r="I1879" i="1"/>
  <c r="R1878" i="1"/>
  <c r="I1871" i="1"/>
  <c r="K1871" i="1" s="1"/>
  <c r="P1867" i="1"/>
  <c r="P1866" i="1"/>
  <c r="P1897" i="1" s="1"/>
  <c r="P1865" i="1"/>
  <c r="P1896" i="1" s="1"/>
  <c r="P1860" i="1"/>
  <c r="R1860" i="1" s="1"/>
  <c r="P1859" i="1"/>
  <c r="R1859" i="1" s="1"/>
  <c r="P1858" i="1"/>
  <c r="P1889" i="1" s="1"/>
  <c r="K1849" i="1"/>
  <c r="I1844" i="1"/>
  <c r="K1844" i="1" s="1"/>
  <c r="I1843" i="1"/>
  <c r="K1843" i="1" s="1"/>
  <c r="I1841" i="1"/>
  <c r="P1857" i="1" s="1"/>
  <c r="R1857" i="1" s="1"/>
  <c r="K1831" i="1"/>
  <c r="I1826" i="1"/>
  <c r="K1826" i="1" s="1"/>
  <c r="I1825" i="1"/>
  <c r="K1825" i="1" s="1"/>
  <c r="I1823" i="1"/>
  <c r="K1823" i="1" s="1"/>
  <c r="K1813" i="1"/>
  <c r="I1808" i="1"/>
  <c r="I2737" i="1" s="1"/>
  <c r="K2737" i="1" s="1"/>
  <c r="I1807" i="1"/>
  <c r="I2736" i="1" s="1"/>
  <c r="K2736" i="1" s="1"/>
  <c r="I1805" i="1"/>
  <c r="K1805" i="1" s="1"/>
  <c r="M1798" i="1"/>
  <c r="L1798" i="1"/>
  <c r="K1798" i="1"/>
  <c r="C859" i="55" s="1"/>
  <c r="K1797" i="1"/>
  <c r="C373" i="55" s="1"/>
  <c r="K1794" i="1"/>
  <c r="K1787" i="1"/>
  <c r="I1771" i="1"/>
  <c r="K1771" i="1" s="1"/>
  <c r="I1770" i="1"/>
  <c r="K1770" i="1" s="1"/>
  <c r="K1769" i="1"/>
  <c r="K1757" i="1"/>
  <c r="K1756" i="1"/>
  <c r="K1755" i="1"/>
  <c r="K1752" i="1"/>
  <c r="K1724" i="1"/>
  <c r="K1723" i="1"/>
  <c r="K1722" i="1"/>
  <c r="AE1696" i="1"/>
  <c r="AE1695" i="1"/>
  <c r="K1695" i="1"/>
  <c r="AE1694" i="1"/>
  <c r="AE1693" i="1"/>
  <c r="AE1692" i="1"/>
  <c r="AE1691" i="1"/>
  <c r="AE1690" i="1"/>
  <c r="AE1689" i="1"/>
  <c r="AE1688" i="1"/>
  <c r="K1688" i="1"/>
  <c r="K1691" i="1" s="1"/>
  <c r="C366" i="55" s="1"/>
  <c r="AE1687" i="1"/>
  <c r="AE1686" i="1"/>
  <c r="AE1685" i="1"/>
  <c r="AE1684" i="1"/>
  <c r="AE1683" i="1"/>
  <c r="AE1682" i="1"/>
  <c r="AE1681" i="1"/>
  <c r="K1681" i="1"/>
  <c r="AE1680" i="1"/>
  <c r="AE1679" i="1"/>
  <c r="K1679" i="1"/>
  <c r="AE1678" i="1"/>
  <c r="AE1677" i="1"/>
  <c r="AE1676" i="1"/>
  <c r="AE1675" i="1"/>
  <c r="AE1674" i="1"/>
  <c r="AE1673" i="1"/>
  <c r="AE1672" i="1"/>
  <c r="AE1671" i="1"/>
  <c r="AE1670" i="1"/>
  <c r="AE1669" i="1"/>
  <c r="AE1668" i="1"/>
  <c r="K1668" i="1"/>
  <c r="AE1667" i="1"/>
  <c r="K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S1641" i="1"/>
  <c r="AE1640" i="1"/>
  <c r="AE1639" i="1"/>
  <c r="AE1638" i="1"/>
  <c r="AE1637" i="1"/>
  <c r="AE1636" i="1"/>
  <c r="R1636" i="1"/>
  <c r="AE1635" i="1"/>
  <c r="P1635" i="1"/>
  <c r="AE1634" i="1"/>
  <c r="AE1633" i="1"/>
  <c r="Q1633" i="1"/>
  <c r="AE1632" i="1"/>
  <c r="R1632" i="1"/>
  <c r="Q1632" i="1"/>
  <c r="AE1631" i="1"/>
  <c r="Q1631" i="1"/>
  <c r="I1631" i="1"/>
  <c r="P1633" i="1" s="1"/>
  <c r="AE1630" i="1"/>
  <c r="R1630" i="1"/>
  <c r="Q1630" i="1"/>
  <c r="I1630" i="1"/>
  <c r="K1630" i="1" s="1"/>
  <c r="AE1629" i="1"/>
  <c r="Q1629" i="1"/>
  <c r="I1629" i="1"/>
  <c r="P1631" i="1" s="1"/>
  <c r="AE1628" i="1"/>
  <c r="I1628" i="1"/>
  <c r="K1628" i="1" s="1"/>
  <c r="AE1627" i="1"/>
  <c r="I1627" i="1"/>
  <c r="AE1626" i="1"/>
  <c r="AE1625" i="1"/>
  <c r="AE1624" i="1"/>
  <c r="AE1623" i="1"/>
  <c r="AE1622" i="1"/>
  <c r="AE1621" i="1"/>
  <c r="AE1620" i="1"/>
  <c r="AE1619" i="1"/>
  <c r="AE1618" i="1"/>
  <c r="AE1617" i="1"/>
  <c r="AE1616" i="1"/>
  <c r="O1616" i="1"/>
  <c r="AE1615" i="1"/>
  <c r="AE1614" i="1"/>
  <c r="AE1613" i="1"/>
  <c r="AE1612" i="1"/>
  <c r="AE1611" i="1"/>
  <c r="AE1610" i="1"/>
  <c r="AE1609" i="1"/>
  <c r="AE1608" i="1"/>
  <c r="AE1607" i="1"/>
  <c r="AE1606" i="1"/>
  <c r="AE1605" i="1"/>
  <c r="AE1604" i="1"/>
  <c r="P1604" i="1"/>
  <c r="AE1603" i="1"/>
  <c r="AE1602" i="1"/>
  <c r="AE1601" i="1"/>
  <c r="AE1600" i="1"/>
  <c r="AE1599" i="1"/>
  <c r="AE1598" i="1"/>
  <c r="AE1597" i="1"/>
  <c r="AE1596" i="1"/>
  <c r="AE1595" i="1"/>
  <c r="AE1594" i="1"/>
  <c r="AE1593" i="1"/>
  <c r="AE1592" i="1"/>
  <c r="K1592" i="1"/>
  <c r="AE1591" i="1"/>
  <c r="AE1590" i="1"/>
  <c r="AE1589" i="1"/>
  <c r="AE1588" i="1"/>
  <c r="AE1587" i="1"/>
  <c r="AE1586" i="1"/>
  <c r="AE1585" i="1"/>
  <c r="AE1584" i="1"/>
  <c r="AE1583" i="1"/>
  <c r="AE1582" i="1"/>
  <c r="AE1581" i="1"/>
  <c r="AE1580" i="1"/>
  <c r="AE1579" i="1"/>
  <c r="K1579" i="1"/>
  <c r="AE1578" i="1"/>
  <c r="AE1577" i="1"/>
  <c r="AE1576" i="1"/>
  <c r="AE1575" i="1"/>
  <c r="AE1574" i="1"/>
  <c r="AE1573" i="1"/>
  <c r="AE1572" i="1"/>
  <c r="AE1571" i="1"/>
  <c r="AE1570" i="1"/>
  <c r="AE1569" i="1"/>
  <c r="AE1568" i="1"/>
  <c r="AE1567" i="1"/>
  <c r="AE1566" i="1"/>
  <c r="AE1565" i="1"/>
  <c r="AE1564" i="1"/>
  <c r="I1564" i="1"/>
  <c r="K1564" i="1" s="1"/>
  <c r="AE1563" i="1"/>
  <c r="K1563" i="1"/>
  <c r="AE1562" i="1"/>
  <c r="AE1561" i="1"/>
  <c r="AE1560" i="1"/>
  <c r="I1560" i="1"/>
  <c r="K1560" i="1" s="1"/>
  <c r="AE1559" i="1"/>
  <c r="AE1558" i="1"/>
  <c r="AE1557" i="1"/>
  <c r="AE1556" i="1"/>
  <c r="AE1555" i="1"/>
  <c r="AE1554" i="1"/>
  <c r="AE1553" i="1"/>
  <c r="AE1552" i="1"/>
  <c r="AE1551" i="1"/>
  <c r="AE1550" i="1"/>
  <c r="AE1549" i="1"/>
  <c r="AE1548" i="1"/>
  <c r="I3197" i="1"/>
  <c r="AE1547" i="1"/>
  <c r="AE1546" i="1"/>
  <c r="AE1545" i="1"/>
  <c r="AE1544" i="1"/>
  <c r="AE1543" i="1"/>
  <c r="AE1542" i="1"/>
  <c r="AE1541" i="1"/>
  <c r="AE1540" i="1"/>
  <c r="AE1539" i="1"/>
  <c r="AE1538" i="1"/>
  <c r="AE1537" i="1"/>
  <c r="AE1536" i="1"/>
  <c r="AE1535" i="1"/>
  <c r="I1535" i="1"/>
  <c r="I3211" i="1" s="1"/>
  <c r="AE1534" i="1"/>
  <c r="AE1533" i="1"/>
  <c r="I1533" i="1"/>
  <c r="AE1532" i="1"/>
  <c r="AE1531" i="1"/>
  <c r="AE1530" i="1"/>
  <c r="AE1529" i="1"/>
  <c r="AE1528" i="1"/>
  <c r="AE1527" i="1"/>
  <c r="AE1526" i="1"/>
  <c r="AE1525" i="1"/>
  <c r="AE1524" i="1"/>
  <c r="AE1523" i="1"/>
  <c r="AE1522" i="1"/>
  <c r="R1522" i="1"/>
  <c r="AE1521" i="1"/>
  <c r="AE1520" i="1"/>
  <c r="AE1519" i="1"/>
  <c r="AE1518" i="1"/>
  <c r="I1518" i="1"/>
  <c r="K1518" i="1" s="1"/>
  <c r="AE1517" i="1"/>
  <c r="AE1516" i="1"/>
  <c r="AE1515" i="1"/>
  <c r="AE1514" i="1"/>
  <c r="AE1513" i="1"/>
  <c r="AE1512" i="1"/>
  <c r="AE1511" i="1"/>
  <c r="AE1510" i="1"/>
  <c r="AE1509" i="1"/>
  <c r="AE1508" i="1"/>
  <c r="AE1507" i="1"/>
  <c r="AE1506" i="1"/>
  <c r="I1506" i="1"/>
  <c r="AE1505" i="1"/>
  <c r="AE1504" i="1"/>
  <c r="AE1503" i="1"/>
  <c r="AE1502" i="1"/>
  <c r="AE1501" i="1"/>
  <c r="M1501" i="1"/>
  <c r="AE1500" i="1"/>
  <c r="AE1499" i="1"/>
  <c r="AE1498" i="1"/>
  <c r="AE1497" i="1"/>
  <c r="O1497" i="1"/>
  <c r="AE1496" i="1"/>
  <c r="O1496" i="1"/>
  <c r="AE1495" i="1"/>
  <c r="O1495" i="1"/>
  <c r="AE1494" i="1"/>
  <c r="AE1493" i="1"/>
  <c r="AE1492" i="1"/>
  <c r="AE1491" i="1"/>
  <c r="AE1490" i="1"/>
  <c r="AE1489" i="1"/>
  <c r="AE1488" i="1"/>
  <c r="AE1487" i="1"/>
  <c r="AE1486" i="1"/>
  <c r="AE1485" i="1"/>
  <c r="AE1484" i="1"/>
  <c r="AE1483" i="1"/>
  <c r="U1483" i="1"/>
  <c r="S1483" i="1"/>
  <c r="T1483" i="1" s="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S1455" i="1"/>
  <c r="AE1454" i="1"/>
  <c r="AE1453" i="1"/>
  <c r="M1453" i="1"/>
  <c r="AE1452" i="1"/>
  <c r="AE1451" i="1"/>
  <c r="AE1450" i="1"/>
  <c r="AE1449" i="1"/>
  <c r="AE1448" i="1"/>
  <c r="AE1447" i="1"/>
  <c r="AE1446" i="1"/>
  <c r="AE1445" i="1"/>
  <c r="AE1444" i="1"/>
  <c r="AE1443" i="1"/>
  <c r="AE1442" i="1"/>
  <c r="AE1441" i="1"/>
  <c r="AE1440" i="1"/>
  <c r="AE1439" i="1"/>
  <c r="AE1438" i="1"/>
  <c r="I1438" i="1"/>
  <c r="K1438" i="1" s="1"/>
  <c r="AE1437" i="1"/>
  <c r="AE1436" i="1"/>
  <c r="AE1435" i="1"/>
  <c r="AE1434" i="1"/>
  <c r="U1434" i="1"/>
  <c r="AE1433" i="1"/>
  <c r="AE1432" i="1"/>
  <c r="AE1431" i="1"/>
  <c r="S1431" i="1"/>
  <c r="AE1430" i="1"/>
  <c r="X1430" i="1"/>
  <c r="AE1429" i="1"/>
  <c r="X1429" i="1"/>
  <c r="AE1428" i="1"/>
  <c r="X1428" i="1"/>
  <c r="AE1427" i="1"/>
  <c r="AE1426" i="1"/>
  <c r="AE1425" i="1"/>
  <c r="AE1424" i="1"/>
  <c r="AE1423" i="1"/>
  <c r="AE1422" i="1"/>
  <c r="AE1421" i="1"/>
  <c r="AE1420" i="1"/>
  <c r="Y1420" i="1"/>
  <c r="L1420" i="1"/>
  <c r="AE1419" i="1"/>
  <c r="P1419" i="1"/>
  <c r="P1436" i="1" s="1"/>
  <c r="AE1418" i="1"/>
  <c r="Y1418" i="1"/>
  <c r="P1418" i="1"/>
  <c r="P1435" i="1" s="1"/>
  <c r="AE1417" i="1"/>
  <c r="P1417" i="1"/>
  <c r="P1434" i="1" s="1"/>
  <c r="AE1416" i="1"/>
  <c r="AE1415" i="1"/>
  <c r="P1415" i="1"/>
  <c r="R1415" i="1" s="1"/>
  <c r="AE1414" i="1"/>
  <c r="P1414" i="1"/>
  <c r="R1414" i="1" s="1"/>
  <c r="AE1413" i="1"/>
  <c r="P1413" i="1"/>
  <c r="AE1412" i="1"/>
  <c r="AE1411" i="1"/>
  <c r="AE1410" i="1"/>
  <c r="AE1409" i="1"/>
  <c r="P1409" i="1"/>
  <c r="P1426" i="1" s="1"/>
  <c r="AE1408" i="1"/>
  <c r="AE1407" i="1"/>
  <c r="S1407" i="1"/>
  <c r="AE1406" i="1"/>
  <c r="S1406" i="1"/>
  <c r="AE1405" i="1"/>
  <c r="S1405" i="1"/>
  <c r="L1405" i="1"/>
  <c r="AE1404" i="1"/>
  <c r="S1404" i="1"/>
  <c r="AE1403" i="1"/>
  <c r="S1403" i="1"/>
  <c r="AE1402" i="1"/>
  <c r="R1402" i="1"/>
  <c r="AE1401" i="1"/>
  <c r="R1401" i="1"/>
  <c r="AE1400" i="1"/>
  <c r="R1400" i="1"/>
  <c r="AE1399" i="1"/>
  <c r="AE1398" i="1"/>
  <c r="R1398" i="1"/>
  <c r="AE1397" i="1"/>
  <c r="R1397" i="1"/>
  <c r="AE1396" i="1"/>
  <c r="R1396" i="1"/>
  <c r="AE1395" i="1"/>
  <c r="P1395" i="1"/>
  <c r="AE1394" i="1"/>
  <c r="P1394" i="1"/>
  <c r="V1355" i="1" s="1"/>
  <c r="X1355" i="1" s="1"/>
  <c r="AE1393" i="1"/>
  <c r="P1393" i="1"/>
  <c r="P1410" i="1" s="1"/>
  <c r="AE1392" i="1"/>
  <c r="R1392" i="1"/>
  <c r="AE1391" i="1"/>
  <c r="AE1390" i="1"/>
  <c r="AE1389" i="1"/>
  <c r="AE1388" i="1"/>
  <c r="AE1387" i="1"/>
  <c r="AE1386" i="1"/>
  <c r="AE1385" i="1"/>
  <c r="AE1384" i="1"/>
  <c r="AE1383" i="1"/>
  <c r="AE1382" i="1"/>
  <c r="AE1381" i="1"/>
  <c r="AE1380" i="1"/>
  <c r="V1380" i="1"/>
  <c r="X1380" i="1" s="1"/>
  <c r="AE1379" i="1"/>
  <c r="I1379" i="1"/>
  <c r="K1379" i="1" s="1"/>
  <c r="AE1378" i="1"/>
  <c r="V1378" i="1"/>
  <c r="AE1377" i="1"/>
  <c r="AE1376" i="1"/>
  <c r="V1376" i="1"/>
  <c r="X1376" i="1" s="1"/>
  <c r="AE1375" i="1"/>
  <c r="AE1374" i="1"/>
  <c r="AE1373" i="1"/>
  <c r="P1373" i="1"/>
  <c r="R1373" i="1" s="1"/>
  <c r="AE1372" i="1"/>
  <c r="AE1371" i="1"/>
  <c r="AE1370" i="1"/>
  <c r="AE1369" i="1"/>
  <c r="AE1368" i="1"/>
  <c r="AE1367" i="1"/>
  <c r="AE1366" i="1"/>
  <c r="AE1365" i="1"/>
  <c r="AE1364" i="1"/>
  <c r="AE1363" i="1"/>
  <c r="V1363" i="1"/>
  <c r="X1363" i="1" s="1"/>
  <c r="AE1362" i="1"/>
  <c r="V1362" i="1"/>
  <c r="X1362" i="1" s="1"/>
  <c r="AE1361" i="1"/>
  <c r="V1361" i="1"/>
  <c r="AE1360" i="1"/>
  <c r="AE1359" i="1"/>
  <c r="V1359" i="1"/>
  <c r="AE1358" i="1"/>
  <c r="V1358" i="1"/>
  <c r="AB1356" i="1" s="1"/>
  <c r="AE1357" i="1"/>
  <c r="V1357" i="1"/>
  <c r="AB1355" i="1" s="1"/>
  <c r="I1357" i="1"/>
  <c r="AE1356" i="1"/>
  <c r="R1356" i="1"/>
  <c r="AE1355" i="1"/>
  <c r="AE1354" i="1"/>
  <c r="R1354" i="1"/>
  <c r="AE1353" i="1"/>
  <c r="V1353" i="1"/>
  <c r="X1353" i="1" s="1"/>
  <c r="AE1352" i="1"/>
  <c r="AE1351" i="1"/>
  <c r="AE1350" i="1"/>
  <c r="AE1349" i="1"/>
  <c r="AE1348" i="1"/>
  <c r="Y1348" i="1"/>
  <c r="AE1347" i="1"/>
  <c r="AE1346" i="1"/>
  <c r="AE1345" i="1"/>
  <c r="AE1344" i="1"/>
  <c r="AE1343" i="1"/>
  <c r="X1343" i="1"/>
  <c r="AE1342" i="1"/>
  <c r="AE1341" i="1"/>
  <c r="X1341" i="1"/>
  <c r="AE1340" i="1"/>
  <c r="V1340" i="1"/>
  <c r="X1340" i="1" s="1"/>
  <c r="AE1339" i="1"/>
  <c r="X1339" i="1"/>
  <c r="AE1338" i="1"/>
  <c r="AE1337" i="1"/>
  <c r="AE1336" i="1"/>
  <c r="AE1335" i="1"/>
  <c r="AE1334" i="1"/>
  <c r="AE1333" i="1"/>
  <c r="R1333" i="1"/>
  <c r="AE1332" i="1"/>
  <c r="X1332" i="1"/>
  <c r="AE1331" i="1"/>
  <c r="AE1330" i="1"/>
  <c r="AE1329" i="1"/>
  <c r="AE1328" i="1"/>
  <c r="AE1327" i="1"/>
  <c r="AE1326" i="1"/>
  <c r="AE1325" i="1"/>
  <c r="V1325" i="1"/>
  <c r="X1325" i="1" s="1"/>
  <c r="AE1324" i="1"/>
  <c r="AE1323" i="1"/>
  <c r="AE1322" i="1"/>
  <c r="AE1321" i="1"/>
  <c r="AE1320" i="1"/>
  <c r="AE1319" i="1"/>
  <c r="V1319" i="1"/>
  <c r="X1319" i="1" s="1"/>
  <c r="AE1318" i="1"/>
  <c r="AE1317" i="1"/>
  <c r="AE1316" i="1"/>
  <c r="AE1315" i="1"/>
  <c r="AE1314" i="1"/>
  <c r="AE1313" i="1"/>
  <c r="AE1312" i="1"/>
  <c r="AE1311" i="1"/>
  <c r="AE1310" i="1"/>
  <c r="AE1309" i="1"/>
  <c r="AE1308" i="1"/>
  <c r="AE1307" i="1"/>
  <c r="AE1306" i="1"/>
  <c r="V1306" i="1"/>
  <c r="V1326" i="1" s="1"/>
  <c r="AE1305" i="1"/>
  <c r="X1305" i="1"/>
  <c r="AE1304" i="1"/>
  <c r="AE1303" i="1"/>
  <c r="AE1302" i="1"/>
  <c r="P1302" i="1"/>
  <c r="R1302" i="1" s="1"/>
  <c r="AE1301" i="1"/>
  <c r="R1301" i="1"/>
  <c r="AE1300" i="1"/>
  <c r="AE1299" i="1"/>
  <c r="X1299" i="1"/>
  <c r="AE1298" i="1"/>
  <c r="AE1297" i="1"/>
  <c r="AE1296" i="1"/>
  <c r="AE1295" i="1"/>
  <c r="AE1294" i="1"/>
  <c r="AE1293" i="1"/>
  <c r="AE1292" i="1"/>
  <c r="AE1291" i="1"/>
  <c r="AE1290" i="1"/>
  <c r="AE1289" i="1"/>
  <c r="AE1288" i="1"/>
  <c r="AE1287" i="1"/>
  <c r="AE1286" i="1"/>
  <c r="V1286" i="1"/>
  <c r="X1286" i="1" s="1"/>
  <c r="AE1285" i="1"/>
  <c r="AE1284" i="1"/>
  <c r="K1284" i="1"/>
  <c r="AE1283" i="1"/>
  <c r="AE1282" i="1"/>
  <c r="AE1281" i="1"/>
  <c r="AE1280" i="1"/>
  <c r="V1280" i="1"/>
  <c r="AE1279" i="1"/>
  <c r="AE1278" i="1"/>
  <c r="X1278" i="1"/>
  <c r="AE1277" i="1"/>
  <c r="AE1276" i="1"/>
  <c r="AE1275" i="1"/>
  <c r="AE1274" i="1"/>
  <c r="AE1273" i="1"/>
  <c r="AE1272" i="1"/>
  <c r="AE1271" i="1"/>
  <c r="I1271" i="1"/>
  <c r="AE1270" i="1"/>
  <c r="M1270" i="1"/>
  <c r="AE1269" i="1"/>
  <c r="AE1268" i="1"/>
  <c r="AD1268" i="1"/>
  <c r="AE1267" i="1"/>
  <c r="AC1267" i="1"/>
  <c r="AE1266" i="1"/>
  <c r="AC1266" i="1"/>
  <c r="AE1265" i="1"/>
  <c r="AC1265" i="1"/>
  <c r="P1265" i="1"/>
  <c r="P1381" i="1" s="1"/>
  <c r="R1381" i="1" s="1"/>
  <c r="AE1264" i="1"/>
  <c r="AC1264" i="1"/>
  <c r="AB1264" i="1"/>
  <c r="AD1264" i="1" s="1"/>
  <c r="AE1263" i="1"/>
  <c r="AC1263" i="1"/>
  <c r="AD1263" i="1"/>
  <c r="AE1262" i="1"/>
  <c r="AE1261" i="1"/>
  <c r="AE1260" i="1"/>
  <c r="AE1259" i="1"/>
  <c r="R1258" i="1"/>
  <c r="AE1257" i="1"/>
  <c r="K1257" i="1"/>
  <c r="AE1256" i="1"/>
  <c r="AE1255" i="1"/>
  <c r="AE1254" i="1"/>
  <c r="AB1254" i="1"/>
  <c r="AB1226" i="1" s="1"/>
  <c r="AE1253" i="1"/>
  <c r="AE1252" i="1"/>
  <c r="AE1251" i="1"/>
  <c r="AE1250" i="1"/>
  <c r="AD1250" i="1"/>
  <c r="AE1249" i="1"/>
  <c r="AE1248" i="1"/>
  <c r="AE1247" i="1"/>
  <c r="AE1246" i="1"/>
  <c r="AE1245" i="1"/>
  <c r="V1245" i="1"/>
  <c r="X1245" i="1" s="1"/>
  <c r="AE1244" i="1"/>
  <c r="AE1243" i="1"/>
  <c r="AE1242" i="1"/>
  <c r="AD1242" i="1"/>
  <c r="AE1241" i="1"/>
  <c r="AE1240" i="1"/>
  <c r="AE1239" i="1"/>
  <c r="AE1238" i="1"/>
  <c r="X1238" i="1"/>
  <c r="AE1237" i="1"/>
  <c r="AE1236" i="1"/>
  <c r="AE1235" i="1"/>
  <c r="R1235" i="1"/>
  <c r="AE1234" i="1"/>
  <c r="AE1233" i="1"/>
  <c r="I1233" i="1"/>
  <c r="K1233" i="1" s="1"/>
  <c r="AE1232" i="1"/>
  <c r="AE1231" i="1"/>
  <c r="AE1230" i="1"/>
  <c r="AE1229" i="1"/>
  <c r="AE1228" i="1"/>
  <c r="AE1227" i="1"/>
  <c r="AB1227" i="1"/>
  <c r="S1227" i="1"/>
  <c r="AE1226" i="1"/>
  <c r="AE1225" i="1"/>
  <c r="AE1224" i="1"/>
  <c r="AE1223" i="1"/>
  <c r="AE1222" i="1"/>
  <c r="AB1222" i="1"/>
  <c r="AD1222" i="1" s="1"/>
  <c r="AE1221" i="1"/>
  <c r="AE1220" i="1"/>
  <c r="AE1219" i="1"/>
  <c r="AE1218" i="1"/>
  <c r="AE1217" i="1"/>
  <c r="AE1216" i="1"/>
  <c r="AB1216" i="1"/>
  <c r="T1216" i="1"/>
  <c r="R1216" i="1"/>
  <c r="AE1215" i="1"/>
  <c r="AE1214" i="1"/>
  <c r="AD1214" i="1"/>
  <c r="AE1213" i="1"/>
  <c r="AC1213" i="1"/>
  <c r="AE1212" i="1"/>
  <c r="AE1211" i="1"/>
  <c r="AE1210" i="1"/>
  <c r="AE1204" i="1"/>
  <c r="AE1203" i="1"/>
  <c r="AE1192" i="1"/>
  <c r="I1192" i="1"/>
  <c r="K1192" i="1" s="1"/>
  <c r="C321" i="55" s="1"/>
  <c r="AE1191" i="1"/>
  <c r="AE1190" i="1"/>
  <c r="AE1189" i="1"/>
  <c r="AD1189" i="1"/>
  <c r="K1179" i="1"/>
  <c r="K1178" i="1"/>
  <c r="Q1177" i="1"/>
  <c r="K1177" i="1"/>
  <c r="I1161" i="1"/>
  <c r="K1161" i="1" s="1"/>
  <c r="I1160" i="1"/>
  <c r="K1160" i="1" s="1"/>
  <c r="X1154" i="1"/>
  <c r="P1152" i="1"/>
  <c r="P1151" i="1"/>
  <c r="P1150" i="1"/>
  <c r="I1147" i="1"/>
  <c r="K1147" i="1" s="1"/>
  <c r="I1146" i="1"/>
  <c r="K1146" i="1" s="1"/>
  <c r="Q1143" i="1"/>
  <c r="K1136" i="1"/>
  <c r="K1135" i="1"/>
  <c r="I1134" i="1"/>
  <c r="K1134" i="1" s="1"/>
  <c r="I1133" i="1"/>
  <c r="K1133" i="1" s="1"/>
  <c r="K1131" i="1"/>
  <c r="I1108" i="1"/>
  <c r="K1108" i="1" s="1"/>
  <c r="I1107" i="1"/>
  <c r="K1107" i="1" s="1"/>
  <c r="I1106" i="1"/>
  <c r="K1106" i="1" s="1"/>
  <c r="I1104" i="1"/>
  <c r="K1104" i="1" s="1"/>
  <c r="R1093" i="1"/>
  <c r="I1093" i="1"/>
  <c r="K1093" i="1" s="1"/>
  <c r="I1091" i="1"/>
  <c r="K1091" i="1" s="1"/>
  <c r="I1090" i="1"/>
  <c r="K1090" i="1" s="1"/>
  <c r="I1088" i="1"/>
  <c r="K1088" i="1" s="1"/>
  <c r="H1088" i="1"/>
  <c r="H1104" i="1" s="1"/>
  <c r="I1078" i="1"/>
  <c r="K1078" i="1" s="1"/>
  <c r="I1076" i="1"/>
  <c r="K1076" i="1" s="1"/>
  <c r="I1075" i="1"/>
  <c r="K1075" i="1" s="1"/>
  <c r="K1073" i="1"/>
  <c r="I1063" i="1"/>
  <c r="AE1072" i="1" s="1"/>
  <c r="AG1072" i="1" s="1"/>
  <c r="I1062" i="1"/>
  <c r="K1062" i="1" s="1"/>
  <c r="I1061" i="1"/>
  <c r="I1077" i="1" s="1"/>
  <c r="K1077" i="1" s="1"/>
  <c r="I1060" i="1"/>
  <c r="P1071" i="1" s="1"/>
  <c r="I1059" i="1"/>
  <c r="I1058" i="1"/>
  <c r="P1069" i="1" s="1"/>
  <c r="I1056" i="1"/>
  <c r="P1067" i="1" s="1"/>
  <c r="AE1042" i="1"/>
  <c r="AE1041" i="1"/>
  <c r="AE1040" i="1"/>
  <c r="AE1039" i="1"/>
  <c r="AE1038" i="1"/>
  <c r="AE1037" i="1"/>
  <c r="AE1035" i="1"/>
  <c r="AE1034" i="1"/>
  <c r="AE1033" i="1"/>
  <c r="K1033" i="1"/>
  <c r="AE1032" i="1"/>
  <c r="AE1031" i="1"/>
  <c r="AE1030" i="1"/>
  <c r="AE1029" i="1"/>
  <c r="AE1028" i="1"/>
  <c r="AE1027" i="1"/>
  <c r="AE1026" i="1"/>
  <c r="I1026" i="1"/>
  <c r="AE1025" i="1"/>
  <c r="I1025" i="1"/>
  <c r="P1099" i="1" s="1"/>
  <c r="AE1024" i="1"/>
  <c r="I1024" i="1"/>
  <c r="P1098" i="1" s="1"/>
  <c r="R1098" i="1" s="1"/>
  <c r="AE1023" i="1"/>
  <c r="I1023" i="1"/>
  <c r="P1097" i="1" s="1"/>
  <c r="AE1022" i="1"/>
  <c r="I1022" i="1"/>
  <c r="AE1021" i="1"/>
  <c r="I1021" i="1"/>
  <c r="P1095" i="1" s="1"/>
  <c r="R1095" i="1" s="1"/>
  <c r="AE1020" i="1"/>
  <c r="AE1019" i="1"/>
  <c r="AE1018" i="1"/>
  <c r="AE1017" i="1"/>
  <c r="AE1016" i="1"/>
  <c r="AE1015" i="1"/>
  <c r="AE1014" i="1"/>
  <c r="AE1013" i="1"/>
  <c r="AE1012" i="1"/>
  <c r="AE1011" i="1"/>
  <c r="AE1010" i="1"/>
  <c r="AE1009" i="1"/>
  <c r="AE1008" i="1"/>
  <c r="AE1007" i="1"/>
  <c r="AE1005" i="1"/>
  <c r="AE1004" i="1"/>
  <c r="AE1003" i="1"/>
  <c r="AE1002" i="1"/>
  <c r="AE1001" i="1"/>
  <c r="AE1000" i="1"/>
  <c r="AE999" i="1"/>
  <c r="AE998" i="1"/>
  <c r="AE997" i="1"/>
  <c r="P997" i="1"/>
  <c r="R997" i="1" s="1"/>
  <c r="I997" i="1"/>
  <c r="I1027" i="1" s="1"/>
  <c r="AE996" i="1"/>
  <c r="I996" i="1"/>
  <c r="I2842" i="1" s="1"/>
  <c r="AE995" i="1"/>
  <c r="P995" i="1"/>
  <c r="R995" i="1" s="1"/>
  <c r="I995" i="1"/>
  <c r="I2841" i="1" s="1"/>
  <c r="AE994" i="1"/>
  <c r="P994" i="1"/>
  <c r="R994" i="1" s="1"/>
  <c r="I994" i="1"/>
  <c r="I2840" i="1" s="1"/>
  <c r="AE993" i="1"/>
  <c r="I993" i="1"/>
  <c r="AE992" i="1"/>
  <c r="I992" i="1"/>
  <c r="I2838" i="1" s="1"/>
  <c r="AE991" i="1"/>
  <c r="I991" i="1"/>
  <c r="I2837" i="1" s="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K962" i="1"/>
  <c r="AE961" i="1"/>
  <c r="I961" i="1"/>
  <c r="AE960" i="1"/>
  <c r="I960" i="1"/>
  <c r="K960" i="1" s="1"/>
  <c r="AE959" i="1"/>
  <c r="I959" i="1"/>
  <c r="K959" i="1" s="1"/>
  <c r="AE958" i="1"/>
  <c r="I958" i="1"/>
  <c r="AE957" i="1"/>
  <c r="I957" i="1"/>
  <c r="AE956" i="1"/>
  <c r="I956" i="1"/>
  <c r="K956" i="1" s="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K902" i="1"/>
  <c r="H902" i="1"/>
  <c r="AE901" i="1"/>
  <c r="AE900" i="1"/>
  <c r="AE899" i="1"/>
  <c r="AE898" i="1"/>
  <c r="H898" i="1"/>
  <c r="AE897" i="1"/>
  <c r="AE896" i="1"/>
  <c r="AE895" i="1"/>
  <c r="AE894" i="1"/>
  <c r="AE893" i="1"/>
  <c r="AE892" i="1"/>
  <c r="AE891" i="1"/>
  <c r="AE890" i="1"/>
  <c r="AE889" i="1"/>
  <c r="AE888" i="1"/>
  <c r="AE887" i="1"/>
  <c r="AE886" i="1"/>
  <c r="V886" i="1"/>
  <c r="X886" i="1" s="1"/>
  <c r="K886" i="1"/>
  <c r="AE885" i="1"/>
  <c r="AE884" i="1"/>
  <c r="AE883" i="1"/>
  <c r="I883" i="1"/>
  <c r="K883" i="1" s="1"/>
  <c r="AE882" i="1"/>
  <c r="I882" i="1"/>
  <c r="I898" i="1" s="1"/>
  <c r="K898" i="1" s="1"/>
  <c r="AE881" i="1"/>
  <c r="I881" i="1"/>
  <c r="V881" i="1" s="1"/>
  <c r="V897" i="1" s="1"/>
  <c r="X897" i="1" s="1"/>
  <c r="AE880" i="1"/>
  <c r="I880" i="1"/>
  <c r="I896" i="1" s="1"/>
  <c r="K896" i="1" s="1"/>
  <c r="AE879" i="1"/>
  <c r="AE878" i="1"/>
  <c r="AE877" i="1"/>
  <c r="AE876" i="1"/>
  <c r="AE875" i="1"/>
  <c r="AE874" i="1"/>
  <c r="AE873" i="1"/>
  <c r="AE872" i="1"/>
  <c r="AE871" i="1"/>
  <c r="AE870" i="1"/>
  <c r="AE869" i="1"/>
  <c r="AE868" i="1"/>
  <c r="V868" i="1"/>
  <c r="X868" i="1" s="1"/>
  <c r="K868" i="1"/>
  <c r="AE867" i="1"/>
  <c r="AE866" i="1"/>
  <c r="AE865" i="1"/>
  <c r="V865" i="1"/>
  <c r="X865" i="1" s="1"/>
  <c r="K865" i="1"/>
  <c r="AE864" i="1"/>
  <c r="V864" i="1"/>
  <c r="X864" i="1" s="1"/>
  <c r="K864" i="1"/>
  <c r="AE863" i="1"/>
  <c r="V863" i="1"/>
  <c r="X863" i="1" s="1"/>
  <c r="P863" i="1"/>
  <c r="K863" i="1"/>
  <c r="AE862" i="1"/>
  <c r="V862" i="1"/>
  <c r="X862" i="1" s="1"/>
  <c r="K862" i="1"/>
  <c r="AE861" i="1"/>
  <c r="P861" i="1"/>
  <c r="R861" i="1" s="1"/>
  <c r="AE860" i="1"/>
  <c r="AE859" i="1"/>
  <c r="AE858" i="1"/>
  <c r="P858" i="1"/>
  <c r="R858" i="1" s="1"/>
  <c r="AE857" i="1"/>
  <c r="P857" i="1"/>
  <c r="R857" i="1" s="1"/>
  <c r="AE856" i="1"/>
  <c r="P856" i="1"/>
  <c r="R856" i="1" s="1"/>
  <c r="AE855" i="1"/>
  <c r="P855" i="1"/>
  <c r="R855" i="1" s="1"/>
  <c r="AE854" i="1"/>
  <c r="AE853" i="1"/>
  <c r="AE852" i="1"/>
  <c r="AE851" i="1"/>
  <c r="AE850" i="1"/>
  <c r="AE849" i="1"/>
  <c r="AE848" i="1"/>
  <c r="AE847" i="1"/>
  <c r="AE846" i="1"/>
  <c r="AE845" i="1"/>
  <c r="AE844" i="1"/>
  <c r="AE843" i="1"/>
  <c r="AE842" i="1"/>
  <c r="AE841" i="1"/>
  <c r="AE840" i="1"/>
  <c r="AE839" i="1"/>
  <c r="AE838" i="1"/>
  <c r="AE828" i="1"/>
  <c r="AE827" i="1"/>
  <c r="AE826" i="1"/>
  <c r="V826" i="1"/>
  <c r="AE825" i="1"/>
  <c r="V825" i="1"/>
  <c r="AE824" i="1"/>
  <c r="V824" i="1"/>
  <c r="AE823" i="1"/>
  <c r="AE822" i="1"/>
  <c r="AE821" i="1"/>
  <c r="AE820" i="1"/>
  <c r="W820" i="1"/>
  <c r="AE819" i="1"/>
  <c r="AE818" i="1"/>
  <c r="AE817" i="1"/>
  <c r="AE816" i="1"/>
  <c r="AE815" i="1"/>
  <c r="AE814" i="1"/>
  <c r="AE813" i="1"/>
  <c r="AE812" i="1"/>
  <c r="AE811" i="1"/>
  <c r="AE810" i="1"/>
  <c r="AE809" i="1"/>
  <c r="AE808" i="1"/>
  <c r="AE807" i="1"/>
  <c r="AE806" i="1"/>
  <c r="AE805" i="1"/>
  <c r="W805" i="1"/>
  <c r="AE804" i="1"/>
  <c r="AE803" i="1"/>
  <c r="AE802" i="1"/>
  <c r="AE801" i="1"/>
  <c r="AE800" i="1"/>
  <c r="AE799" i="1"/>
  <c r="AE798" i="1"/>
  <c r="AE797" i="1"/>
  <c r="AE796" i="1"/>
  <c r="AE795" i="1"/>
  <c r="AE794" i="1"/>
  <c r="AE793" i="1"/>
  <c r="P793" i="1"/>
  <c r="R793" i="1" s="1"/>
  <c r="AE792" i="1"/>
  <c r="AE791" i="1"/>
  <c r="AE790" i="1"/>
  <c r="K790" i="1"/>
  <c r="AE789" i="1"/>
  <c r="K789" i="1"/>
  <c r="AE788" i="1"/>
  <c r="I788" i="1"/>
  <c r="K788" i="1" s="1"/>
  <c r="AE787" i="1"/>
  <c r="AE786" i="1"/>
  <c r="AE785" i="1"/>
  <c r="A785" i="1"/>
  <c r="AE784" i="1"/>
  <c r="R784" i="1"/>
  <c r="I784" i="1"/>
  <c r="K784" i="1" s="1"/>
  <c r="AE783" i="1"/>
  <c r="AE782" i="1"/>
  <c r="AE781" i="1"/>
  <c r="AE780" i="1"/>
  <c r="AE779" i="1"/>
  <c r="AE778" i="1"/>
  <c r="AE777" i="1"/>
  <c r="AE776" i="1"/>
  <c r="R776" i="1"/>
  <c r="AE775" i="1"/>
  <c r="AE774" i="1"/>
  <c r="AE773" i="1"/>
  <c r="AE772" i="1"/>
  <c r="AE771" i="1"/>
  <c r="R771" i="1"/>
  <c r="AE770" i="1"/>
  <c r="AE769" i="1"/>
  <c r="AE768" i="1"/>
  <c r="AE767" i="1"/>
  <c r="K767" i="1"/>
  <c r="AE766" i="1"/>
  <c r="K766" i="1"/>
  <c r="AE765" i="1"/>
  <c r="AE764" i="1"/>
  <c r="AE763" i="1"/>
  <c r="AE762" i="1"/>
  <c r="K762" i="1"/>
  <c r="AE761" i="1"/>
  <c r="I761" i="1"/>
  <c r="K761" i="1" s="1"/>
  <c r="AE760" i="1"/>
  <c r="I760" i="1"/>
  <c r="K760" i="1" s="1"/>
  <c r="I781" i="1" s="1"/>
  <c r="K781" i="1" s="1"/>
  <c r="AE759" i="1"/>
  <c r="AE758" i="1"/>
  <c r="AE757" i="1"/>
  <c r="P757" i="1"/>
  <c r="R757" i="1" s="1"/>
  <c r="AE756" i="1"/>
  <c r="P756" i="1"/>
  <c r="R756" i="1" s="1"/>
  <c r="AE755" i="1"/>
  <c r="P755" i="1"/>
  <c r="R755" i="1" s="1"/>
  <c r="AE754" i="1"/>
  <c r="P754" i="1"/>
  <c r="R754" i="1" s="1"/>
  <c r="AE753" i="1"/>
  <c r="AE752" i="1"/>
  <c r="P752" i="1"/>
  <c r="R752" i="1" s="1"/>
  <c r="AE751" i="1"/>
  <c r="AE750" i="1"/>
  <c r="AE749" i="1"/>
  <c r="AE748" i="1"/>
  <c r="AE747" i="1"/>
  <c r="AE746" i="1"/>
  <c r="AE745" i="1"/>
  <c r="AE744" i="1"/>
  <c r="AE743" i="1"/>
  <c r="AE742" i="1"/>
  <c r="AE741" i="1"/>
  <c r="P741" i="1"/>
  <c r="R741" i="1" s="1"/>
  <c r="AE740" i="1"/>
  <c r="P740" i="1"/>
  <c r="R740" i="1" s="1"/>
  <c r="AE739" i="1"/>
  <c r="V739" i="1"/>
  <c r="P739" i="1"/>
  <c r="R739" i="1" s="1"/>
  <c r="AE738" i="1"/>
  <c r="V738" i="1"/>
  <c r="P738" i="1"/>
  <c r="R738" i="1" s="1"/>
  <c r="AE737" i="1"/>
  <c r="AE736" i="1"/>
  <c r="P736" i="1"/>
  <c r="R736" i="1" s="1"/>
  <c r="AE735" i="1"/>
  <c r="AE734" i="1"/>
  <c r="AE733" i="1"/>
  <c r="AE732" i="1"/>
  <c r="AE731" i="1"/>
  <c r="AE730" i="1"/>
  <c r="AE729" i="1"/>
  <c r="AE728" i="1"/>
  <c r="AE727" i="1"/>
  <c r="AE726" i="1"/>
  <c r="P726" i="1"/>
  <c r="R726" i="1" s="1"/>
  <c r="AE725" i="1"/>
  <c r="P725" i="1"/>
  <c r="R725" i="1" s="1"/>
  <c r="AE724" i="1"/>
  <c r="P724" i="1"/>
  <c r="R724" i="1" s="1"/>
  <c r="AE723" i="1"/>
  <c r="P723" i="1"/>
  <c r="R723" i="1" s="1"/>
  <c r="AE722" i="1"/>
  <c r="AE721" i="1"/>
  <c r="P721" i="1"/>
  <c r="R721" i="1" s="1"/>
  <c r="I721" i="1"/>
  <c r="K721" i="1" s="1"/>
  <c r="AE720" i="1"/>
  <c r="AE719" i="1"/>
  <c r="I719" i="1"/>
  <c r="K719" i="1" s="1"/>
  <c r="AE718" i="1"/>
  <c r="V718" i="1"/>
  <c r="I718" i="1"/>
  <c r="K718" i="1" s="1"/>
  <c r="AE717" i="1"/>
  <c r="V717" i="1"/>
  <c r="D52" i="32" s="1"/>
  <c r="D115" i="32" s="1"/>
  <c r="AE716" i="1"/>
  <c r="AE715" i="1"/>
  <c r="V715" i="1"/>
  <c r="AE714" i="1"/>
  <c r="V714" i="1"/>
  <c r="D49" i="32" s="1"/>
  <c r="D112" i="32" s="1"/>
  <c r="AE713" i="1"/>
  <c r="AE712" i="1"/>
  <c r="AE711" i="1"/>
  <c r="W711" i="1"/>
  <c r="AE710" i="1"/>
  <c r="S710" i="1"/>
  <c r="P710" i="1"/>
  <c r="R710" i="1" s="1"/>
  <c r="R714" i="1" s="1"/>
  <c r="AE709" i="1"/>
  <c r="AE708" i="1"/>
  <c r="AE707" i="1"/>
  <c r="AE706" i="1"/>
  <c r="AE705" i="1"/>
  <c r="AE704" i="1"/>
  <c r="AE703" i="1"/>
  <c r="AE702" i="1"/>
  <c r="K702" i="1"/>
  <c r="AE701" i="1"/>
  <c r="I701" i="1"/>
  <c r="K701" i="1" s="1"/>
  <c r="AE700" i="1"/>
  <c r="I700" i="1"/>
  <c r="K700" i="1" s="1"/>
  <c r="AE699" i="1"/>
  <c r="P699" i="1"/>
  <c r="R699" i="1" s="1"/>
  <c r="R703" i="1" s="1"/>
  <c r="AE698" i="1"/>
  <c r="AE697" i="1"/>
  <c r="AE696" i="1"/>
  <c r="AE695" i="1"/>
  <c r="AE694" i="1"/>
  <c r="AE693" i="1"/>
  <c r="AF692" i="1"/>
  <c r="AE692" i="1"/>
  <c r="AE691" i="1"/>
  <c r="AF690" i="1"/>
  <c r="AE690" i="1"/>
  <c r="AE689" i="1"/>
  <c r="P689" i="1"/>
  <c r="R689" i="1" s="1"/>
  <c r="R693" i="1" s="1"/>
  <c r="AE688" i="1"/>
  <c r="AE687" i="1"/>
  <c r="AE686" i="1"/>
  <c r="AC686" i="1"/>
  <c r="AE685" i="1"/>
  <c r="AC685" i="1"/>
  <c r="AE684" i="1"/>
  <c r="AA684" i="1"/>
  <c r="AE683" i="1"/>
  <c r="K683" i="1"/>
  <c r="AE682" i="1"/>
  <c r="I682" i="1"/>
  <c r="K682" i="1" s="1"/>
  <c r="AE681" i="1"/>
  <c r="I681" i="1"/>
  <c r="K681" i="1" s="1"/>
  <c r="AE680" i="1"/>
  <c r="AE679" i="1"/>
  <c r="P679" i="1"/>
  <c r="R679" i="1" s="1"/>
  <c r="R683" i="1" s="1"/>
  <c r="AE678" i="1"/>
  <c r="AE677" i="1"/>
  <c r="AE676" i="1"/>
  <c r="AE675" i="1"/>
  <c r="AE674" i="1"/>
  <c r="P661" i="1"/>
  <c r="R661" i="1" s="1"/>
  <c r="P660" i="1"/>
  <c r="R660" i="1" s="1"/>
  <c r="P659" i="1"/>
  <c r="R659" i="1" s="1"/>
  <c r="C659" i="1"/>
  <c r="V649" i="1"/>
  <c r="V710" i="1" s="1"/>
  <c r="X710" i="1" s="1"/>
  <c r="Z710" i="1" s="1"/>
  <c r="P643" i="1"/>
  <c r="R643" i="1" s="1"/>
  <c r="AE638" i="1"/>
  <c r="AE637" i="1"/>
  <c r="AE636" i="1"/>
  <c r="AE635" i="1"/>
  <c r="AE634" i="1"/>
  <c r="AE633" i="1"/>
  <c r="AE632" i="1"/>
  <c r="AE631" i="1"/>
  <c r="AE630" i="1"/>
  <c r="P630" i="1"/>
  <c r="R630" i="1" s="1"/>
  <c r="AE629" i="1"/>
  <c r="AE628" i="1"/>
  <c r="AE627" i="1"/>
  <c r="AE626" i="1"/>
  <c r="AE625" i="1"/>
  <c r="AE624" i="1"/>
  <c r="AE623" i="1"/>
  <c r="AE622" i="1"/>
  <c r="AE621" i="1"/>
  <c r="AE620" i="1"/>
  <c r="I620" i="1"/>
  <c r="K620" i="1" s="1"/>
  <c r="AE619" i="1"/>
  <c r="AE618" i="1"/>
  <c r="AE617" i="1"/>
  <c r="AE616" i="1"/>
  <c r="C616" i="1"/>
  <c r="AE615" i="1"/>
  <c r="AE614" i="1"/>
  <c r="AE613" i="1"/>
  <c r="AE612" i="1"/>
  <c r="AE611" i="1"/>
  <c r="AE610" i="1"/>
  <c r="AE609" i="1"/>
  <c r="C609" i="1"/>
  <c r="AE608" i="1"/>
  <c r="AE607" i="1"/>
  <c r="AE606" i="1"/>
  <c r="AE605" i="1"/>
  <c r="I605" i="1"/>
  <c r="K605" i="1" s="1"/>
  <c r="AE604" i="1"/>
  <c r="AE603" i="1"/>
  <c r="E603" i="1"/>
  <c r="C603" i="1"/>
  <c r="I1270" i="1" s="1"/>
  <c r="AE602" i="1"/>
  <c r="I1249" i="1"/>
  <c r="AE601" i="1"/>
  <c r="AE600" i="1"/>
  <c r="AE599" i="1"/>
  <c r="AE598" i="1"/>
  <c r="AE597" i="1"/>
  <c r="AE596" i="1"/>
  <c r="AE595" i="1"/>
  <c r="AE594" i="1"/>
  <c r="AE593" i="1"/>
  <c r="AE592" i="1"/>
  <c r="AE591" i="1"/>
  <c r="AE590" i="1"/>
  <c r="AE589" i="1"/>
  <c r="AE588" i="1"/>
  <c r="AE587" i="1"/>
  <c r="AE586" i="1"/>
  <c r="V586" i="1"/>
  <c r="P586" i="1"/>
  <c r="R586" i="1" s="1"/>
  <c r="AE585" i="1"/>
  <c r="R585" i="1"/>
  <c r="AE584" i="1"/>
  <c r="R584" i="1"/>
  <c r="AE583" i="1"/>
  <c r="I583" i="1"/>
  <c r="K583" i="1" s="1"/>
  <c r="AE582" i="1"/>
  <c r="AE581" i="1"/>
  <c r="AE580" i="1"/>
  <c r="AE579" i="1"/>
  <c r="P579" i="1"/>
  <c r="R579" i="1" s="1"/>
  <c r="AE578" i="1"/>
  <c r="AE577" i="1"/>
  <c r="AE576" i="1"/>
  <c r="AE575" i="1"/>
  <c r="AE574" i="1"/>
  <c r="AE573" i="1"/>
  <c r="AC573" i="1"/>
  <c r="AB573" i="1"/>
  <c r="AC567" i="1"/>
  <c r="AJ567" i="1" s="1"/>
  <c r="AE565" i="1"/>
  <c r="AE564" i="1"/>
  <c r="AE563" i="1"/>
  <c r="M563" i="1"/>
  <c r="AE562" i="1"/>
  <c r="M562" i="1"/>
  <c r="AE561" i="1"/>
  <c r="M561" i="1"/>
  <c r="AE560" i="1"/>
  <c r="M560" i="1"/>
  <c r="AE559" i="1"/>
  <c r="AE558" i="1"/>
  <c r="AE557" i="1"/>
  <c r="AE556" i="1"/>
  <c r="V556" i="1"/>
  <c r="AE555" i="1"/>
  <c r="AE554" i="1"/>
  <c r="R554" i="1"/>
  <c r="E554" i="1"/>
  <c r="AE553" i="1"/>
  <c r="AE552" i="1"/>
  <c r="AE551" i="1"/>
  <c r="AE550" i="1"/>
  <c r="W550" i="1"/>
  <c r="AC550" i="1" s="1"/>
  <c r="AE549" i="1"/>
  <c r="W549" i="1"/>
  <c r="AC549" i="1" s="1"/>
  <c r="AJ549" i="1" s="1"/>
  <c r="P549" i="1"/>
  <c r="R549" i="1" s="1"/>
  <c r="AE540" i="1"/>
  <c r="P540" i="1"/>
  <c r="R540" i="1" s="1"/>
  <c r="AE539" i="1"/>
  <c r="AE538" i="1"/>
  <c r="P538" i="1"/>
  <c r="R538" i="1" s="1"/>
  <c r="AE537" i="1"/>
  <c r="AE536" i="1"/>
  <c r="AE535" i="1"/>
  <c r="AE534" i="1"/>
  <c r="AE533" i="1"/>
  <c r="AE532" i="1"/>
  <c r="AB532" i="1"/>
  <c r="AE531" i="1"/>
  <c r="AE530" i="1"/>
  <c r="AE529" i="1"/>
  <c r="AE528" i="1"/>
  <c r="AE527" i="1"/>
  <c r="AE526" i="1"/>
  <c r="R526" i="1"/>
  <c r="AE525" i="1"/>
  <c r="AE524" i="1"/>
  <c r="AE523" i="1"/>
  <c r="AE522" i="1"/>
  <c r="AE521" i="1"/>
  <c r="P521" i="1"/>
  <c r="R521" i="1" s="1"/>
  <c r="AE520" i="1"/>
  <c r="P520" i="1"/>
  <c r="R520" i="1" s="1"/>
  <c r="AE519" i="1"/>
  <c r="AE518" i="1"/>
  <c r="P518" i="1"/>
  <c r="R518" i="1" s="1"/>
  <c r="AE517" i="1"/>
  <c r="AE516" i="1"/>
  <c r="AE515" i="1"/>
  <c r="AE514" i="1"/>
  <c r="AE513" i="1"/>
  <c r="AE512" i="1"/>
  <c r="AE511" i="1"/>
  <c r="AE510" i="1"/>
  <c r="AE509" i="1"/>
  <c r="AE508" i="1"/>
  <c r="R508" i="1"/>
  <c r="AE507" i="1"/>
  <c r="AE506" i="1"/>
  <c r="AE505" i="1"/>
  <c r="AE504" i="1"/>
  <c r="AE503" i="1"/>
  <c r="P503" i="1"/>
  <c r="R503" i="1" s="1"/>
  <c r="AE502" i="1"/>
  <c r="P502" i="1"/>
  <c r="R502" i="1" s="1"/>
  <c r="AE501" i="1"/>
  <c r="AE500" i="1"/>
  <c r="P500" i="1"/>
  <c r="R500" i="1" s="1"/>
  <c r="AE499" i="1"/>
  <c r="AE498" i="1"/>
  <c r="AE497" i="1"/>
  <c r="AE496" i="1"/>
  <c r="AE495" i="1"/>
  <c r="AE494" i="1"/>
  <c r="AE493" i="1"/>
  <c r="I493" i="1"/>
  <c r="K493" i="1" s="1"/>
  <c r="AE492" i="1"/>
  <c r="AE491" i="1"/>
  <c r="AE490" i="1"/>
  <c r="AE489" i="1"/>
  <c r="AE488" i="1"/>
  <c r="AE487" i="1"/>
  <c r="AE486" i="1"/>
  <c r="AE485" i="1"/>
  <c r="P485" i="1"/>
  <c r="R485" i="1" s="1"/>
  <c r="AE484" i="1"/>
  <c r="P484" i="1"/>
  <c r="R484" i="1" s="1"/>
  <c r="AE483" i="1"/>
  <c r="P483" i="1"/>
  <c r="R483" i="1" s="1"/>
  <c r="AE482" i="1"/>
  <c r="AE481" i="1"/>
  <c r="AB481" i="1"/>
  <c r="AE480" i="1"/>
  <c r="AE472" i="1"/>
  <c r="AE471" i="1"/>
  <c r="P471" i="1"/>
  <c r="R471" i="1" s="1"/>
  <c r="AE470" i="1"/>
  <c r="AE469" i="1"/>
  <c r="AE468" i="1"/>
  <c r="AE467" i="1"/>
  <c r="AE466" i="1"/>
  <c r="AE465" i="1"/>
  <c r="P460" i="1"/>
  <c r="R460" i="1" s="1"/>
  <c r="P459" i="1"/>
  <c r="R459" i="1" s="1"/>
  <c r="P458" i="1"/>
  <c r="R458" i="1" s="1"/>
  <c r="P453" i="1"/>
  <c r="R453" i="1" s="1"/>
  <c r="P442" i="1"/>
  <c r="R442" i="1" s="1"/>
  <c r="P441" i="1"/>
  <c r="R441" i="1" s="1"/>
  <c r="P440" i="1"/>
  <c r="R440" i="1" s="1"/>
  <c r="R434" i="1"/>
  <c r="AB433" i="1"/>
  <c r="AB432" i="1"/>
  <c r="AB431" i="1"/>
  <c r="AB430" i="1"/>
  <c r="AB429" i="1"/>
  <c r="AB425" i="1"/>
  <c r="AD423" i="1"/>
  <c r="X417" i="1"/>
  <c r="F412" i="1"/>
  <c r="H411" i="1"/>
  <c r="F411" i="1"/>
  <c r="H409" i="1"/>
  <c r="AD389" i="1"/>
  <c r="AB389" i="1"/>
  <c r="AD387" i="1"/>
  <c r="H380" i="1"/>
  <c r="F380" i="1"/>
  <c r="H378" i="1"/>
  <c r="P368" i="1"/>
  <c r="R368" i="1" s="1"/>
  <c r="AD365" i="1"/>
  <c r="H356" i="1"/>
  <c r="X342" i="1"/>
  <c r="AB337" i="1"/>
  <c r="F337" i="1"/>
  <c r="AD336" i="1"/>
  <c r="AB336" i="1"/>
  <c r="H336" i="1"/>
  <c r="F336" i="1"/>
  <c r="AD334" i="1"/>
  <c r="AD363" i="1" s="1"/>
  <c r="H334" i="1"/>
  <c r="H354" i="1" s="1"/>
  <c r="AD312" i="1"/>
  <c r="AD425" i="1" s="1"/>
  <c r="H312" i="1"/>
  <c r="K258" i="1"/>
  <c r="I257" i="1"/>
  <c r="K257" i="1" s="1"/>
  <c r="K246" i="1"/>
  <c r="I242" i="1"/>
  <c r="K242" i="1" s="1"/>
  <c r="P220" i="1"/>
  <c r="R220" i="1" s="1"/>
  <c r="P219" i="1"/>
  <c r="R219" i="1" s="1"/>
  <c r="P218" i="1"/>
  <c r="R218" i="1" s="1"/>
  <c r="P217" i="1"/>
  <c r="R217" i="1" s="1"/>
  <c r="P216" i="1"/>
  <c r="R216" i="1" s="1"/>
  <c r="P215" i="1"/>
  <c r="R215" i="1" s="1"/>
  <c r="P213" i="1"/>
  <c r="R213" i="1" s="1"/>
  <c r="I187" i="1"/>
  <c r="K187" i="1" s="1"/>
  <c r="I186" i="1"/>
  <c r="K186" i="1" s="1"/>
  <c r="I158" i="1"/>
  <c r="K158" i="1" s="1"/>
  <c r="I156" i="1"/>
  <c r="K156" i="1" s="1"/>
  <c r="I154" i="1"/>
  <c r="K154" i="1" s="1"/>
  <c r="C144" i="1"/>
  <c r="C58" i="1"/>
  <c r="I1232" i="1" s="1"/>
  <c r="K1232" i="1" s="1"/>
  <c r="Y47" i="1"/>
  <c r="AF46" i="1"/>
  <c r="AE46" i="1" s="1"/>
  <c r="AF43" i="1"/>
  <c r="AE43" i="1" s="1"/>
  <c r="X42" i="1"/>
  <c r="Y34" i="1"/>
  <c r="W34" i="1"/>
  <c r="C34" i="1"/>
  <c r="D34" i="1" s="1"/>
  <c r="X33" i="1"/>
  <c r="AC30" i="1"/>
  <c r="C138" i="1" s="1"/>
  <c r="I1219" i="1" s="1"/>
  <c r="K1219" i="1" s="1"/>
  <c r="W29" i="1"/>
  <c r="E29" i="1"/>
  <c r="E27" i="1"/>
  <c r="C28" i="1" s="1"/>
  <c r="I1234" i="1" s="1"/>
  <c r="K1234" i="1" s="1"/>
  <c r="AC22" i="1"/>
  <c r="C85" i="1" s="1"/>
  <c r="D489" i="81" s="1"/>
  <c r="F489" i="81" s="1"/>
  <c r="AC21" i="1"/>
  <c r="C84" i="1" s="1"/>
  <c r="I1376" i="1" s="1"/>
  <c r="K1376" i="1" s="1"/>
  <c r="W20" i="1"/>
  <c r="W19" i="1"/>
  <c r="Y17" i="1"/>
  <c r="P11" i="1"/>
  <c r="R11" i="1" s="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8" i="1" s="1"/>
  <c r="A39" i="1" s="1"/>
  <c r="A40" i="1" s="1"/>
  <c r="A41" i="1" s="1"/>
  <c r="A42" i="1" s="1"/>
  <c r="A43" i="1" s="1"/>
  <c r="A44" i="1" s="1"/>
  <c r="A45" i="1" s="1"/>
  <c r="A46" i="1" s="1"/>
  <c r="A47" i="1" s="1"/>
  <c r="A48" i="1" s="1"/>
  <c r="A49" i="1" s="1"/>
  <c r="A50" i="1" s="1"/>
  <c r="A51" i="1" s="1"/>
  <c r="A53" i="1" s="1"/>
  <c r="A54" i="1" s="1"/>
  <c r="A55" i="1" s="1"/>
  <c r="A56" i="1" s="1"/>
  <c r="A57" i="1" s="1"/>
  <c r="A58" i="1" s="1"/>
  <c r="A59"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138" i="1" s="1"/>
  <c r="A139" i="1" s="1"/>
  <c r="A140" i="1" s="1"/>
  <c r="A141" i="1" s="1"/>
  <c r="A142" i="1" s="1"/>
  <c r="A143" i="1" s="1"/>
  <c r="A144" i="1" s="1"/>
  <c r="A146" i="1" s="1"/>
  <c r="A148" i="1" s="1"/>
  <c r="A149" i="1" s="1"/>
  <c r="A193" i="1" s="1"/>
  <c r="A194" i="1" s="1"/>
  <c r="A195" i="1" s="1"/>
  <c r="A196" i="1" s="1"/>
  <c r="A197" i="1" s="1"/>
  <c r="A198" i="1" s="1"/>
  <c r="A199" i="1" s="1"/>
  <c r="A200" i="1" s="1"/>
  <c r="A201" i="1" s="1"/>
  <c r="A202" i="1" s="1"/>
  <c r="A203" i="1" s="1"/>
  <c r="A204" i="1" s="1"/>
  <c r="A205" i="1" s="1"/>
  <c r="A206" i="1" s="1"/>
  <c r="A207" i="1" s="1"/>
  <c r="A266" i="1" s="1"/>
  <c r="A267" i="1" s="1"/>
  <c r="A268" i="1" s="1"/>
  <c r="A269" i="1" s="1"/>
  <c r="A270" i="1" s="1"/>
  <c r="A271" i="1" s="1"/>
  <c r="A272" i="1" s="1"/>
  <c r="A273" i="1" s="1"/>
  <c r="A274" i="1" s="1"/>
  <c r="A275" i="1" s="1"/>
  <c r="A276" i="1" s="1"/>
  <c r="A277" i="1" s="1"/>
  <c r="A278" i="1" s="1"/>
  <c r="A279" i="1" s="1"/>
  <c r="A280" i="1" s="1"/>
  <c r="A281"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4" i="1" s="1"/>
  <c r="A425" i="1" s="1"/>
  <c r="A426" i="1" s="1"/>
  <c r="A427" i="1" s="1"/>
  <c r="A428" i="1" s="1"/>
  <c r="A429" i="1" s="1"/>
  <c r="A430" i="1" s="1"/>
  <c r="A431" i="1" s="1"/>
  <c r="A432" i="1" s="1"/>
  <c r="A433" i="1" s="1"/>
  <c r="A434" i="1" s="1"/>
  <c r="A435" i="1" s="1"/>
  <c r="A436" i="1" s="1"/>
  <c r="A437" i="1" s="1"/>
  <c r="A438"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80" i="1" s="1"/>
  <c r="A481" i="1" s="1"/>
  <c r="A482" i="1" s="1"/>
  <c r="A483" i="1" s="1"/>
  <c r="A484" i="1" s="1"/>
  <c r="A485" i="1" s="1"/>
  <c r="A486" i="1" s="1"/>
  <c r="A487" i="1" s="1"/>
  <c r="A488" i="1" s="1"/>
  <c r="A489" i="1" s="1"/>
  <c r="A490" i="1" s="1"/>
  <c r="A491" i="1" s="1"/>
  <c r="A492" i="1" s="1"/>
  <c r="A493" i="1" s="1"/>
  <c r="A494" i="1" s="1"/>
  <c r="A495" i="1" s="1"/>
  <c r="A496" i="1" s="1"/>
  <c r="A497" i="1" s="1"/>
  <c r="A498"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9" i="1" s="1"/>
  <c r="A550" i="1" s="1"/>
  <c r="A551" i="1" s="1"/>
  <c r="A552" i="1" s="1"/>
  <c r="A553" i="1" s="1"/>
  <c r="A554" i="1" s="1"/>
  <c r="A555" i="1" s="1"/>
  <c r="A556" i="1" s="1"/>
  <c r="A557" i="1" s="1"/>
  <c r="A558" i="1" s="1"/>
  <c r="A559" i="1" s="1"/>
  <c r="A560" i="1" s="1"/>
  <c r="A561" i="1" s="1"/>
  <c r="A562" i="1" s="1"/>
  <c r="A563" i="1" s="1"/>
  <c r="A565"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6" i="1" s="1"/>
  <c r="A597" i="1" s="1"/>
  <c r="A598" i="1" s="1"/>
  <c r="A599" i="1" s="1"/>
  <c r="A600" i="1" s="1"/>
  <c r="A601" i="1" s="1"/>
  <c r="A602" i="1" s="1"/>
  <c r="A603" i="1" s="1"/>
  <c r="A604" i="1" s="1"/>
  <c r="A605" i="1" s="1"/>
  <c r="A606" i="1" s="1"/>
  <c r="A607" i="1" s="1"/>
  <c r="A608" i="1" s="1"/>
  <c r="A609"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6" i="1" s="1"/>
  <c r="A767" i="1" s="1"/>
  <c r="A768" i="1" s="1"/>
  <c r="A769" i="1" s="1"/>
  <c r="A770" i="1" s="1"/>
  <c r="A771" i="1" s="1"/>
  <c r="A772" i="1" s="1"/>
  <c r="A773" i="1" s="1"/>
  <c r="A774" i="1" s="1"/>
  <c r="A775" i="1" s="1"/>
  <c r="A776" i="1" s="1"/>
  <c r="A777" i="1" s="1"/>
  <c r="A778" i="1" s="1"/>
  <c r="A779" i="1" s="1"/>
  <c r="A780" i="1" s="1"/>
  <c r="A781" i="1" s="1"/>
  <c r="A782" i="1" s="1"/>
  <c r="A783" i="1" s="1"/>
  <c r="A784" i="1" s="1"/>
  <c r="W10" i="1"/>
  <c r="W11" i="1" s="1"/>
  <c r="W12" i="1" s="1"/>
  <c r="W13" i="1" s="1"/>
  <c r="W14" i="1" s="1"/>
  <c r="W15" i="1" s="1"/>
  <c r="W17" i="1" s="1"/>
  <c r="W3" i="1"/>
  <c r="Q3" i="1"/>
  <c r="O3" i="1"/>
  <c r="J3" i="1"/>
  <c r="H3" i="1"/>
  <c r="AH246" i="11"/>
  <c r="AG243" i="11"/>
  <c r="AG241" i="11"/>
  <c r="AG240" i="11"/>
  <c r="AH10" i="1"/>
  <c r="AI10" i="1"/>
  <c r="AJ10" i="1"/>
  <c r="C11" i="1" s="1"/>
  <c r="AK10" i="1"/>
  <c r="AH11" i="1"/>
  <c r="AI11" i="1"/>
  <c r="AJ11" i="1"/>
  <c r="C12" i="1" s="1"/>
  <c r="AK11" i="1"/>
  <c r="AH12" i="1"/>
  <c r="AI12" i="1"/>
  <c r="AJ12" i="1"/>
  <c r="C13" i="1" s="1"/>
  <c r="AK12" i="1"/>
  <c r="AH13" i="1"/>
  <c r="AI13" i="1"/>
  <c r="AJ13" i="1"/>
  <c r="C14" i="1" s="1"/>
  <c r="AK13" i="1"/>
  <c r="AH14" i="1"/>
  <c r="AI14" i="1"/>
  <c r="AJ14" i="1"/>
  <c r="D14" i="1" s="1"/>
  <c r="I1565" i="1" s="1"/>
  <c r="AK14" i="1"/>
  <c r="AH15" i="1"/>
  <c r="AI15" i="1"/>
  <c r="AJ15" i="1"/>
  <c r="C15" i="1" s="1"/>
  <c r="I2410" i="1" s="1"/>
  <c r="K2410" i="1" s="1"/>
  <c r="AK15" i="1"/>
  <c r="AH16" i="1"/>
  <c r="AI16" i="1"/>
  <c r="AJ16" i="1"/>
  <c r="AK16" i="1"/>
  <c r="AH17" i="1"/>
  <c r="AI17" i="1"/>
  <c r="AJ17" i="1"/>
  <c r="C17" i="1" s="1"/>
  <c r="P2337" i="1" s="1"/>
  <c r="R2337" i="1" s="1"/>
  <c r="AK17" i="1"/>
  <c r="AH18" i="1"/>
  <c r="AI18" i="1"/>
  <c r="AJ18" i="1"/>
  <c r="C67" i="1" s="1"/>
  <c r="I765" i="1" s="1"/>
  <c r="K765" i="1" s="1"/>
  <c r="AK18" i="1"/>
  <c r="AH19" i="1"/>
  <c r="AI19" i="1"/>
  <c r="AJ19" i="1"/>
  <c r="C16" i="1" s="1"/>
  <c r="I763" i="1" s="1"/>
  <c r="K763" i="1" s="1"/>
  <c r="AK19" i="1"/>
  <c r="AH20" i="1"/>
  <c r="AI20" i="1"/>
  <c r="AJ20" i="1"/>
  <c r="D16" i="1" s="1"/>
  <c r="I1772" i="1" s="1"/>
  <c r="K1772" i="1" s="1"/>
  <c r="AK20" i="1"/>
  <c r="AH21" i="1"/>
  <c r="AI21" i="1"/>
  <c r="AJ21" i="1"/>
  <c r="I2698" i="1" s="1"/>
  <c r="K2698" i="1" s="1"/>
  <c r="AK21" i="1"/>
  <c r="AH22" i="1"/>
  <c r="AI22" i="1"/>
  <c r="AJ22" i="1"/>
  <c r="C41" i="1" s="1"/>
  <c r="I2738" i="1" s="1"/>
  <c r="K2738" i="1" s="1"/>
  <c r="AK22" i="1"/>
  <c r="AH23" i="1"/>
  <c r="AI23" i="1"/>
  <c r="AJ23" i="1"/>
  <c r="C29" i="1" s="1"/>
  <c r="I1235" i="1" s="1"/>
  <c r="K1235" i="1" s="1"/>
  <c r="AK23" i="1"/>
  <c r="AH24" i="1"/>
  <c r="AI24" i="1"/>
  <c r="AJ24" i="1"/>
  <c r="C18" i="1" s="1"/>
  <c r="I20" i="1" s="1"/>
  <c r="AK24" i="1"/>
  <c r="AH25" i="1"/>
  <c r="AI25" i="1"/>
  <c r="AJ25" i="1"/>
  <c r="C25" i="1" s="1"/>
  <c r="K516" i="1" s="1"/>
  <c r="AK25" i="1"/>
  <c r="AH26" i="1"/>
  <c r="AI26" i="1"/>
  <c r="AJ26" i="1"/>
  <c r="I3511" i="1" s="1"/>
  <c r="K3511" i="1" s="1"/>
  <c r="AK26" i="1"/>
  <c r="AH27" i="1"/>
  <c r="AI27" i="1"/>
  <c r="AJ27" i="1"/>
  <c r="C27" i="1" s="1"/>
  <c r="I142" i="1" s="1"/>
  <c r="AK27" i="1"/>
  <c r="AH28" i="1"/>
  <c r="AI28" i="1"/>
  <c r="AJ28" i="1"/>
  <c r="C26" i="1" s="1"/>
  <c r="I483" i="1" s="1"/>
  <c r="K483" i="1" s="1"/>
  <c r="C229" i="55" s="1"/>
  <c r="AK28" i="1"/>
  <c r="AH29" i="1"/>
  <c r="AI29" i="1"/>
  <c r="AJ29" i="1"/>
  <c r="C62" i="1" s="1"/>
  <c r="I1970" i="1" s="1"/>
  <c r="AK29" i="1"/>
  <c r="AH30" i="1"/>
  <c r="AI30" i="1"/>
  <c r="AJ30" i="1"/>
  <c r="C31" i="1" s="1"/>
  <c r="I990" i="1" s="1"/>
  <c r="K990" i="1" s="1"/>
  <c r="AK30" i="1"/>
  <c r="AH31" i="1"/>
  <c r="AI31" i="1"/>
  <c r="AJ31" i="1"/>
  <c r="D30" i="1" s="1"/>
  <c r="I2667" i="1" s="1"/>
  <c r="I3105" i="1" s="1"/>
  <c r="P2079" i="1" s="1"/>
  <c r="AK31" i="1"/>
  <c r="AH32" i="1"/>
  <c r="AI32" i="1"/>
  <c r="AJ32" i="1"/>
  <c r="V3117" i="1" s="1"/>
  <c r="I4066" i="1" s="1"/>
  <c r="K4066" i="1" s="1"/>
  <c r="AK32" i="1"/>
  <c r="AH33" i="1"/>
  <c r="AI33" i="1"/>
  <c r="AJ33" i="1"/>
  <c r="I2665" i="1" s="1"/>
  <c r="K2665" i="1" s="1"/>
  <c r="AK33" i="1"/>
  <c r="AH34" i="1"/>
  <c r="AI34" i="1"/>
  <c r="AJ34" i="1"/>
  <c r="I3626" i="1" s="1"/>
  <c r="K3626" i="1" s="1"/>
  <c r="AK34" i="1"/>
  <c r="AH35" i="1"/>
  <c r="AI35" i="1"/>
  <c r="AJ35" i="1"/>
  <c r="D33" i="1" s="1"/>
  <c r="I2250" i="1" s="1"/>
  <c r="K2250" i="1" s="1"/>
  <c r="AK35" i="1"/>
  <c r="AH36" i="1"/>
  <c r="AI36" i="1"/>
  <c r="AJ36" i="1"/>
  <c r="D62" i="1" s="1"/>
  <c r="I125" i="1" s="1"/>
  <c r="K125" i="1" s="1"/>
  <c r="K128" i="1" s="1"/>
  <c r="K130" i="1" s="1"/>
  <c r="AK36" i="1"/>
  <c r="AH37" i="1"/>
  <c r="AI37" i="1"/>
  <c r="AJ37" i="1"/>
  <c r="AK37" i="1"/>
  <c r="AH38" i="1"/>
  <c r="AI38" i="1"/>
  <c r="AJ38" i="1"/>
  <c r="AK38" i="1"/>
  <c r="AH39" i="1"/>
  <c r="AI39" i="1"/>
  <c r="AJ39" i="1"/>
  <c r="M95" i="1" s="1"/>
  <c r="M117" i="1" s="1"/>
  <c r="M134" i="1" s="1"/>
  <c r="AK39" i="1"/>
  <c r="AH40" i="1"/>
  <c r="AI40" i="1"/>
  <c r="AJ40" i="1"/>
  <c r="AK40" i="1"/>
  <c r="AH41" i="1"/>
  <c r="AI41" i="1"/>
  <c r="AJ41" i="1"/>
  <c r="C19" i="1" s="1"/>
  <c r="J687" i="1" s="1"/>
  <c r="AK41" i="1"/>
  <c r="AH42" i="1"/>
  <c r="AI42" i="1"/>
  <c r="AJ42" i="1"/>
  <c r="C20" i="1" s="1"/>
  <c r="W404" i="1" s="1"/>
  <c r="W405" i="1" s="1"/>
  <c r="AK42" i="1"/>
  <c r="AJ43" i="1"/>
  <c r="AK43" i="1"/>
  <c r="AH44" i="1"/>
  <c r="AI44" i="1"/>
  <c r="AJ44" i="1"/>
  <c r="C22" i="1" s="1"/>
  <c r="AK44" i="1"/>
  <c r="AH45" i="1"/>
  <c r="AI45" i="1"/>
  <c r="AJ45" i="1"/>
  <c r="AK45" i="1"/>
  <c r="AH46" i="1"/>
  <c r="AI46" i="1"/>
  <c r="AH47" i="1"/>
  <c r="AI47" i="1"/>
  <c r="AJ47" i="1"/>
  <c r="AK47" i="1"/>
  <c r="AH48" i="1"/>
  <c r="AI48" i="1"/>
  <c r="AJ48" i="1"/>
  <c r="AK48" i="1"/>
  <c r="AH49" i="1"/>
  <c r="AI49" i="1"/>
  <c r="AJ49" i="1"/>
  <c r="C461" i="1" s="1"/>
  <c r="P1307" i="1" s="1"/>
  <c r="R1307" i="1" s="1"/>
  <c r="AK49" i="1"/>
  <c r="AH50" i="1"/>
  <c r="AI50" i="1"/>
  <c r="AJ50" i="1"/>
  <c r="AK50" i="1"/>
  <c r="AH51" i="1"/>
  <c r="AI51" i="1"/>
  <c r="AJ51" i="1"/>
  <c r="AK51" i="1"/>
  <c r="AH53" i="1"/>
  <c r="AI53" i="1"/>
  <c r="AJ53" i="1"/>
  <c r="AK53" i="1"/>
  <c r="AH54" i="1"/>
  <c r="AI54" i="1"/>
  <c r="AJ54" i="1"/>
  <c r="AK54" i="1"/>
  <c r="AH55" i="1"/>
  <c r="AI55" i="1"/>
  <c r="AJ55" i="1"/>
  <c r="AK55" i="1"/>
  <c r="AH56" i="1"/>
  <c r="AI56" i="1"/>
  <c r="AJ56" i="1"/>
  <c r="AK56" i="1"/>
  <c r="AH57" i="1"/>
  <c r="AI57" i="1"/>
  <c r="AJ57" i="1"/>
  <c r="I3257" i="1" s="1"/>
  <c r="K3257" i="1" s="1"/>
  <c r="AK57" i="1"/>
  <c r="AH58" i="1"/>
  <c r="AI58" i="1"/>
  <c r="AJ58" i="1"/>
  <c r="I3602" i="1" s="1"/>
  <c r="K3602" i="1" s="1"/>
  <c r="AK58" i="1"/>
  <c r="AH59" i="1"/>
  <c r="AI59" i="1"/>
  <c r="AJ59" i="1"/>
  <c r="AK59" i="1"/>
  <c r="AH60" i="1"/>
  <c r="AI60" i="1"/>
  <c r="AJ60" i="1"/>
  <c r="AK60" i="1"/>
  <c r="AH61" i="1"/>
  <c r="AI61" i="1"/>
  <c r="AJ61" i="1"/>
  <c r="C37" i="1" s="1"/>
  <c r="I2685" i="1" s="1"/>
  <c r="K2685" i="1" s="1"/>
  <c r="AK61" i="1"/>
  <c r="AH62" i="1"/>
  <c r="AI62" i="1"/>
  <c r="AJ62" i="1"/>
  <c r="AK62" i="1"/>
  <c r="AH63" i="1"/>
  <c r="AI63" i="1"/>
  <c r="AJ63" i="1"/>
  <c r="AK63" i="1"/>
  <c r="AH64" i="1"/>
  <c r="AI64" i="1"/>
  <c r="AJ64" i="1"/>
  <c r="AK64" i="1"/>
  <c r="AH65" i="1"/>
  <c r="AI65" i="1"/>
  <c r="AJ65" i="1"/>
  <c r="E26" i="50" s="1"/>
  <c r="AK65" i="1"/>
  <c r="AH66" i="1"/>
  <c r="AI66" i="1"/>
  <c r="AJ66" i="1"/>
  <c r="AK66" i="1"/>
  <c r="AI67" i="1"/>
  <c r="AJ67" i="1"/>
  <c r="AK67" i="1"/>
  <c r="AI68" i="1"/>
  <c r="AJ68" i="1"/>
  <c r="AK68" i="1"/>
  <c r="AI69" i="1"/>
  <c r="AJ69" i="1"/>
  <c r="AK69" i="1"/>
  <c r="AI70" i="1"/>
  <c r="AJ70" i="1"/>
  <c r="AK70" i="1"/>
  <c r="AI71" i="1"/>
  <c r="AJ71" i="1"/>
  <c r="AK71" i="1"/>
  <c r="AI72" i="1"/>
  <c r="AJ72" i="1"/>
  <c r="AK72" i="1"/>
  <c r="AI73" i="1"/>
  <c r="AJ73" i="1"/>
  <c r="AK73" i="1"/>
  <c r="AI74" i="1"/>
  <c r="AJ74" i="1"/>
  <c r="AK74" i="1"/>
  <c r="AI75" i="1"/>
  <c r="AJ75" i="1"/>
  <c r="AK75" i="1"/>
  <c r="AH76" i="1"/>
  <c r="AI76" i="1"/>
  <c r="AJ76" i="1"/>
  <c r="AK76" i="1"/>
  <c r="AH77" i="1"/>
  <c r="AI77" i="1"/>
  <c r="AJ77" i="1"/>
  <c r="AK77" i="1"/>
  <c r="AH78" i="1"/>
  <c r="AI78" i="1"/>
  <c r="AJ78" i="1"/>
  <c r="AK78" i="1"/>
  <c r="AH79" i="1"/>
  <c r="AI79" i="1"/>
  <c r="AJ79" i="1"/>
  <c r="AK79" i="1"/>
  <c r="AH80" i="1"/>
  <c r="AI80" i="1"/>
  <c r="AJ80" i="1"/>
  <c r="AK80" i="1"/>
  <c r="AH81" i="1"/>
  <c r="AI81" i="1"/>
  <c r="AJ81" i="1"/>
  <c r="AK81" i="1"/>
  <c r="AH82" i="1"/>
  <c r="AI82" i="1"/>
  <c r="AJ82" i="1"/>
  <c r="AK82" i="1"/>
  <c r="AH83" i="1"/>
  <c r="AI83" i="1"/>
  <c r="AJ83" i="1"/>
  <c r="AK83" i="1"/>
  <c r="AH84" i="1"/>
  <c r="AI84" i="1"/>
  <c r="AJ84" i="1"/>
  <c r="AK84" i="1"/>
  <c r="AH85" i="1"/>
  <c r="AI85" i="1"/>
  <c r="AJ85" i="1"/>
  <c r="AK85" i="1"/>
  <c r="AH86" i="1"/>
  <c r="AI86" i="1"/>
  <c r="AJ86" i="1"/>
  <c r="AK86" i="1"/>
  <c r="AH87" i="1"/>
  <c r="AI87" i="1"/>
  <c r="AJ87" i="1"/>
  <c r="AK87" i="1"/>
  <c r="AH88" i="1"/>
  <c r="AI88" i="1"/>
  <c r="AJ88" i="1"/>
  <c r="AK88" i="1"/>
  <c r="AH89" i="1"/>
  <c r="AI89" i="1"/>
  <c r="AJ89" i="1"/>
  <c r="AK89" i="1"/>
  <c r="AH90" i="1"/>
  <c r="AI90" i="1"/>
  <c r="AJ90" i="1"/>
  <c r="AK90" i="1"/>
  <c r="AH91" i="1"/>
  <c r="AI91" i="1"/>
  <c r="AJ91" i="1"/>
  <c r="AK91" i="1"/>
  <c r="AH92" i="1"/>
  <c r="AI92" i="1"/>
  <c r="AJ92" i="1"/>
  <c r="AK92" i="1"/>
  <c r="AH93" i="1"/>
  <c r="AI93" i="1"/>
  <c r="AJ93" i="1"/>
  <c r="AK93" i="1"/>
  <c r="AH94" i="1"/>
  <c r="AI94" i="1"/>
  <c r="AJ94" i="1"/>
  <c r="AK94" i="1"/>
  <c r="AH95" i="1"/>
  <c r="AI95" i="1"/>
  <c r="AJ95" i="1"/>
  <c r="AK95" i="1"/>
  <c r="AH96" i="1"/>
  <c r="AI96" i="1"/>
  <c r="AJ96" i="1"/>
  <c r="AK96" i="1"/>
  <c r="AH97" i="1"/>
  <c r="AI97" i="1"/>
  <c r="AJ97" i="1"/>
  <c r="AK97" i="1"/>
  <c r="AH98" i="1"/>
  <c r="AI98" i="1"/>
  <c r="AJ98" i="1"/>
  <c r="AK98" i="1"/>
  <c r="AH99" i="1"/>
  <c r="AI99" i="1"/>
  <c r="AJ99" i="1"/>
  <c r="AK99" i="1"/>
  <c r="AK9" i="1"/>
  <c r="AJ9" i="1"/>
  <c r="D11" i="1" s="1"/>
  <c r="AI9" i="1"/>
  <c r="AH9" i="1"/>
  <c r="Q12" i="4"/>
  <c r="Z25" i="1" s="1"/>
  <c r="Q10" i="4"/>
  <c r="Z19" i="1" s="1"/>
  <c r="Q3" i="4"/>
  <c r="Q11" i="4" s="1"/>
  <c r="Z23" i="1" s="1"/>
  <c r="AC23" i="1" s="1"/>
  <c r="C86" i="1" s="1"/>
  <c r="D398" i="81" s="1"/>
  <c r="F398" i="81" s="1"/>
  <c r="N3" i="4"/>
  <c r="K3" i="4"/>
  <c r="H3" i="4"/>
  <c r="H10" i="4" s="1"/>
  <c r="Z18" i="1" s="1"/>
  <c r="AC18" i="1" s="1"/>
  <c r="C81" i="1" s="1"/>
  <c r="E3" i="4"/>
  <c r="E4" i="4" s="1"/>
  <c r="E16" i="4" s="1"/>
  <c r="C3" i="4"/>
  <c r="C4" i="4" s="1"/>
  <c r="C5" i="4" s="1"/>
  <c r="C6" i="4" s="1"/>
  <c r="AQ197" i="1"/>
  <c r="AS197" i="1" s="1"/>
  <c r="X41" i="64"/>
  <c r="X28" i="64"/>
  <c r="W34" i="64"/>
  <c r="W33" i="64"/>
  <c r="W32" i="64"/>
  <c r="W31" i="64"/>
  <c r="W21" i="64"/>
  <c r="W20" i="64"/>
  <c r="W19" i="64"/>
  <c r="W18" i="64"/>
  <c r="C1426" i="55"/>
  <c r="F9" i="64"/>
  <c r="F8" i="64"/>
  <c r="F6" i="64"/>
  <c r="F10" i="64"/>
  <c r="F7" i="64"/>
  <c r="AR18" i="64"/>
  <c r="AR19" i="64"/>
  <c r="AR20" i="64"/>
  <c r="AR21" i="64"/>
  <c r="AR24" i="64"/>
  <c r="AP40" i="64"/>
  <c r="AR40" i="64" s="1"/>
  <c r="AP41" i="64"/>
  <c r="AR41" i="64" s="1"/>
  <c r="AP43" i="64"/>
  <c r="AR43" i="64" s="1"/>
  <c r="AT6" i="64"/>
  <c r="AT7" i="64" s="1"/>
  <c r="AT8" i="64" s="1"/>
  <c r="AP39" i="64"/>
  <c r="AR39" i="64" s="1"/>
  <c r="AP34" i="64"/>
  <c r="AR34" i="64" s="1"/>
  <c r="AP32" i="64"/>
  <c r="AR32" i="64" s="1"/>
  <c r="AP29" i="64"/>
  <c r="AR29" i="64" s="1"/>
  <c r="AP30" i="64"/>
  <c r="AR30" i="64" s="1"/>
  <c r="AP31" i="64"/>
  <c r="AR31" i="64" s="1"/>
  <c r="AP26" i="64"/>
  <c r="AR26" i="64" s="1"/>
  <c r="AP27" i="64"/>
  <c r="AR27" i="64" s="1"/>
  <c r="AP28" i="64"/>
  <c r="AR28" i="64" s="1"/>
  <c r="AP25" i="64"/>
  <c r="AR25" i="64" s="1"/>
  <c r="AP22" i="64"/>
  <c r="AR22" i="64" s="1"/>
  <c r="AP16" i="64"/>
  <c r="AR16" i="64" s="1"/>
  <c r="AP15" i="64"/>
  <c r="AR15" i="64" s="1"/>
  <c r="AR10" i="64"/>
  <c r="AT5" i="64"/>
  <c r="AR8" i="64"/>
  <c r="AR9" i="64"/>
  <c r="AR7" i="64"/>
  <c r="AR6" i="64"/>
  <c r="AT4" i="64"/>
  <c r="K637" i="64"/>
  <c r="K634" i="64"/>
  <c r="K635" i="64" s="1"/>
  <c r="J637" i="64"/>
  <c r="J634" i="64"/>
  <c r="J635" i="64" s="1"/>
  <c r="F680" i="64"/>
  <c r="F679" i="64"/>
  <c r="E679" i="64"/>
  <c r="E678" i="64"/>
  <c r="D678" i="64"/>
  <c r="F678" i="64" s="1"/>
  <c r="F677" i="64"/>
  <c r="E677" i="64"/>
  <c r="F676" i="64"/>
  <c r="E676" i="64"/>
  <c r="F675" i="64"/>
  <c r="E675" i="64"/>
  <c r="F674" i="64"/>
  <c r="F673" i="64"/>
  <c r="D672" i="64"/>
  <c r="F672" i="64" s="1"/>
  <c r="F671" i="64"/>
  <c r="E671" i="64"/>
  <c r="F670" i="64"/>
  <c r="E670" i="64"/>
  <c r="A668" i="64"/>
  <c r="E637" i="64"/>
  <c r="D40" i="25"/>
  <c r="D28" i="25"/>
  <c r="D41" i="25" s="1"/>
  <c r="F41" i="25" s="1"/>
  <c r="D25" i="25"/>
  <c r="D38" i="25" s="1"/>
  <c r="C256" i="32"/>
  <c r="E256" i="32"/>
  <c r="G267" i="32"/>
  <c r="A269" i="32" s="1"/>
  <c r="G252" i="32"/>
  <c r="A254" i="32" s="1"/>
  <c r="F260" i="32"/>
  <c r="F256" i="32"/>
  <c r="G224" i="32"/>
  <c r="A226" i="32" s="1"/>
  <c r="G209" i="32"/>
  <c r="A211" i="32" s="1"/>
  <c r="A212" i="32" s="1"/>
  <c r="E213" i="32"/>
  <c r="F213" i="32" s="1"/>
  <c r="F217" i="32"/>
  <c r="AF23" i="64"/>
  <c r="AF22" i="64"/>
  <c r="AF11" i="64"/>
  <c r="AF12" i="64"/>
  <c r="AF13" i="64"/>
  <c r="AF14" i="64"/>
  <c r="AF15" i="64"/>
  <c r="AF10" i="64"/>
  <c r="F600" i="64"/>
  <c r="F601" i="64"/>
  <c r="A591" i="64"/>
  <c r="D571" i="64"/>
  <c r="D572" i="64"/>
  <c r="D573" i="64"/>
  <c r="D574" i="64"/>
  <c r="D575" i="64"/>
  <c r="D576" i="64"/>
  <c r="D577" i="64"/>
  <c r="D578" i="64"/>
  <c r="D580" i="64"/>
  <c r="D581" i="64"/>
  <c r="D582" i="64"/>
  <c r="D583" i="64"/>
  <c r="D584" i="64"/>
  <c r="D585" i="64"/>
  <c r="D586" i="64"/>
  <c r="D587" i="64"/>
  <c r="D588" i="64"/>
  <c r="D589" i="64"/>
  <c r="D595" i="64"/>
  <c r="D596" i="64"/>
  <c r="D607" i="64"/>
  <c r="F594" i="64"/>
  <c r="E17" i="4"/>
  <c r="E25" i="32"/>
  <c r="E189" i="32" s="1"/>
  <c r="E270" i="32" s="1"/>
  <c r="D536" i="64"/>
  <c r="D538" i="64"/>
  <c r="D543" i="64"/>
  <c r="D606" i="64" s="1"/>
  <c r="F606" i="64" s="1"/>
  <c r="F532" i="64"/>
  <c r="D196" i="32"/>
  <c r="F196" i="32" s="1"/>
  <c r="E190" i="32"/>
  <c r="E228" i="32" s="1"/>
  <c r="G186" i="32"/>
  <c r="A188" i="32" s="1"/>
  <c r="A189" i="32" s="1"/>
  <c r="A190" i="32" s="1"/>
  <c r="C174" i="32"/>
  <c r="C212" i="32" s="1"/>
  <c r="C173" i="32"/>
  <c r="C211" i="32" s="1"/>
  <c r="E174" i="32"/>
  <c r="E255" i="32" s="1"/>
  <c r="G171" i="32"/>
  <c r="A173" i="32" s="1"/>
  <c r="F179" i="32"/>
  <c r="F175" i="32"/>
  <c r="E24" i="32"/>
  <c r="E188" i="32" s="1"/>
  <c r="W7" i="64"/>
  <c r="W6" i="64"/>
  <c r="W5" i="64"/>
  <c r="W4" i="64"/>
  <c r="P42" i="64"/>
  <c r="P37" i="64"/>
  <c r="P36" i="64"/>
  <c r="P33" i="64"/>
  <c r="P34" i="64" s="1"/>
  <c r="N29" i="64"/>
  <c r="P29" i="64" s="1"/>
  <c r="N28" i="64"/>
  <c r="P28" i="64" s="1"/>
  <c r="P19" i="64"/>
  <c r="P18" i="64"/>
  <c r="P17" i="64"/>
  <c r="P16" i="64"/>
  <c r="P7" i="64"/>
  <c r="P6" i="64"/>
  <c r="P5" i="64"/>
  <c r="P4" i="64"/>
  <c r="F480" i="64"/>
  <c r="F479" i="64"/>
  <c r="E478" i="64"/>
  <c r="D478" i="64"/>
  <c r="F477" i="64"/>
  <c r="E477" i="64"/>
  <c r="F476" i="64"/>
  <c r="E476" i="64"/>
  <c r="F475" i="64"/>
  <c r="E475" i="64"/>
  <c r="F474" i="64"/>
  <c r="F473" i="64"/>
  <c r="F472" i="64"/>
  <c r="E471" i="64"/>
  <c r="D471" i="64"/>
  <c r="F471" i="64" s="1"/>
  <c r="F470" i="64"/>
  <c r="E470" i="64"/>
  <c r="F469" i="64"/>
  <c r="E469" i="64"/>
  <c r="F468" i="64"/>
  <c r="A467" i="64"/>
  <c r="F467" i="64" s="1"/>
  <c r="F466" i="64"/>
  <c r="F465" i="64"/>
  <c r="F464" i="64"/>
  <c r="F463" i="64"/>
  <c r="F462" i="64"/>
  <c r="F461" i="64"/>
  <c r="F460" i="64"/>
  <c r="F459" i="64"/>
  <c r="F458" i="64"/>
  <c r="F457" i="64"/>
  <c r="F456" i="64"/>
  <c r="F455" i="64"/>
  <c r="F454" i="64"/>
  <c r="F453" i="64"/>
  <c r="D452" i="64"/>
  <c r="F452" i="64" s="1"/>
  <c r="F451" i="64"/>
  <c r="F450" i="64"/>
  <c r="F449" i="64"/>
  <c r="F448" i="64"/>
  <c r="F447" i="64"/>
  <c r="F446" i="64"/>
  <c r="F445" i="64"/>
  <c r="F444" i="64"/>
  <c r="F443" i="64"/>
  <c r="D436" i="64"/>
  <c r="D435" i="64"/>
  <c r="E434" i="64"/>
  <c r="D434" i="64"/>
  <c r="D433" i="64"/>
  <c r="F381" i="64"/>
  <c r="F382" i="64"/>
  <c r="F383" i="64"/>
  <c r="F384" i="64"/>
  <c r="F385" i="64"/>
  <c r="F386" i="64"/>
  <c r="F387" i="64"/>
  <c r="F388" i="64"/>
  <c r="F390" i="64"/>
  <c r="F391" i="64"/>
  <c r="F392" i="64"/>
  <c r="F393" i="64"/>
  <c r="F394" i="64"/>
  <c r="F395" i="64"/>
  <c r="F396" i="64"/>
  <c r="F397" i="64"/>
  <c r="F398" i="64"/>
  <c r="F399" i="64"/>
  <c r="F400" i="64"/>
  <c r="F401" i="64"/>
  <c r="F402" i="64"/>
  <c r="F403" i="64"/>
  <c r="F404" i="64"/>
  <c r="F406" i="64"/>
  <c r="F408" i="64"/>
  <c r="F411" i="64"/>
  <c r="F418" i="64"/>
  <c r="D409" i="64"/>
  <c r="F409" i="64" s="1"/>
  <c r="E409" i="64"/>
  <c r="E416" i="64"/>
  <c r="E415" i="64"/>
  <c r="E414" i="64"/>
  <c r="E413" i="64"/>
  <c r="E408" i="64"/>
  <c r="E407" i="64"/>
  <c r="A405" i="64"/>
  <c r="F405" i="64" s="1"/>
  <c r="D389" i="64"/>
  <c r="F389" i="64" s="1"/>
  <c r="F380" i="64"/>
  <c r="D373" i="64"/>
  <c r="D372" i="64"/>
  <c r="E371" i="64"/>
  <c r="D371" i="64"/>
  <c r="D370" i="64"/>
  <c r="F345" i="64"/>
  <c r="F357" i="64"/>
  <c r="F356" i="64"/>
  <c r="F355" i="64"/>
  <c r="F354" i="64"/>
  <c r="F353" i="64"/>
  <c r="F352" i="64"/>
  <c r="F351" i="64"/>
  <c r="F350" i="64"/>
  <c r="F349" i="64"/>
  <c r="F339" i="64"/>
  <c r="F340" i="64"/>
  <c r="F344" i="64"/>
  <c r="F346" i="64"/>
  <c r="D319" i="64"/>
  <c r="D320" i="64"/>
  <c r="D321" i="64"/>
  <c r="D322" i="64"/>
  <c r="D323" i="64"/>
  <c r="D324" i="64"/>
  <c r="D325" i="64"/>
  <c r="D326" i="64"/>
  <c r="D328" i="64"/>
  <c r="F328" i="64" s="1"/>
  <c r="D329" i="64"/>
  <c r="F329" i="64" s="1"/>
  <c r="D330" i="64"/>
  <c r="F330" i="64" s="1"/>
  <c r="D331" i="64"/>
  <c r="F331" i="64" s="1"/>
  <c r="D332" i="64"/>
  <c r="F332" i="64" s="1"/>
  <c r="D333" i="64"/>
  <c r="F333" i="64" s="1"/>
  <c r="D334" i="64"/>
  <c r="F334" i="64" s="1"/>
  <c r="D335" i="64"/>
  <c r="F335" i="64" s="1"/>
  <c r="D336" i="64"/>
  <c r="F336" i="64" s="1"/>
  <c r="D337" i="64"/>
  <c r="F337" i="64" s="1"/>
  <c r="D338" i="64"/>
  <c r="F338" i="64" s="1"/>
  <c r="D318" i="64"/>
  <c r="F318" i="64" s="1"/>
  <c r="A283" i="64"/>
  <c r="F265" i="64"/>
  <c r="F295" i="64"/>
  <c r="F294" i="64"/>
  <c r="F290" i="64"/>
  <c r="F289" i="64"/>
  <c r="F288" i="64"/>
  <c r="F284" i="64"/>
  <c r="F281" i="64"/>
  <c r="F280" i="64"/>
  <c r="F256" i="64"/>
  <c r="A225" i="64"/>
  <c r="C210" i="64"/>
  <c r="C211" i="64"/>
  <c r="D213" i="64"/>
  <c r="F213" i="64" s="1"/>
  <c r="D214" i="64"/>
  <c r="F214" i="64" s="1"/>
  <c r="D215" i="64"/>
  <c r="F215" i="64" s="1"/>
  <c r="D216" i="64"/>
  <c r="F216" i="64" s="1"/>
  <c r="F217" i="64"/>
  <c r="F218" i="64"/>
  <c r="D220" i="64"/>
  <c r="D224" i="64"/>
  <c r="F224" i="64" s="1"/>
  <c r="D225" i="64"/>
  <c r="D226" i="64"/>
  <c r="F226" i="64" s="1"/>
  <c r="D228" i="64"/>
  <c r="F228" i="64" s="1"/>
  <c r="F212" i="64"/>
  <c r="D171" i="64"/>
  <c r="D170" i="64"/>
  <c r="D169" i="64"/>
  <c r="D168" i="64"/>
  <c r="E169" i="64"/>
  <c r="D187" i="64"/>
  <c r="F187" i="64" s="1"/>
  <c r="F178" i="64"/>
  <c r="D151" i="64"/>
  <c r="D99" i="64"/>
  <c r="D100" i="64"/>
  <c r="D101" i="64"/>
  <c r="D102" i="64"/>
  <c r="D103" i="64"/>
  <c r="D104" i="64"/>
  <c r="D105" i="64"/>
  <c r="D106" i="64"/>
  <c r="D108" i="64"/>
  <c r="D109" i="64"/>
  <c r="D110" i="64"/>
  <c r="D111" i="64"/>
  <c r="D112" i="64"/>
  <c r="D113" i="64"/>
  <c r="D114" i="64"/>
  <c r="D115" i="64"/>
  <c r="D116" i="64"/>
  <c r="D117" i="64"/>
  <c r="D118" i="64"/>
  <c r="D119" i="64"/>
  <c r="D120" i="64"/>
  <c r="D121" i="64"/>
  <c r="D122" i="64"/>
  <c r="D202" i="64" s="1"/>
  <c r="D277" i="64" s="1"/>
  <c r="D341" i="64" s="1"/>
  <c r="F341" i="64" s="1"/>
  <c r="D124" i="64"/>
  <c r="D204" i="64" s="1"/>
  <c r="D125" i="64"/>
  <c r="D205" i="64" s="1"/>
  <c r="D126" i="64"/>
  <c r="D206" i="64" s="1"/>
  <c r="D127" i="64"/>
  <c r="D207" i="64" s="1"/>
  <c r="D128" i="64"/>
  <c r="D208" i="64" s="1"/>
  <c r="D129" i="64"/>
  <c r="D209" i="64" s="1"/>
  <c r="F209" i="64" s="1"/>
  <c r="D130" i="64"/>
  <c r="D131" i="64"/>
  <c r="D133" i="64"/>
  <c r="E823" i="64" s="1"/>
  <c r="D134" i="64"/>
  <c r="E824" i="64" s="1"/>
  <c r="D135" i="64"/>
  <c r="D136" i="64"/>
  <c r="D137" i="64"/>
  <c r="D138" i="64"/>
  <c r="D139" i="64"/>
  <c r="D141" i="64"/>
  <c r="D142" i="64"/>
  <c r="D147" i="64"/>
  <c r="D148" i="64"/>
  <c r="D149" i="64"/>
  <c r="D98" i="64"/>
  <c r="F98" i="64" s="1"/>
  <c r="F132" i="64"/>
  <c r="A123" i="64"/>
  <c r="AU3109" i="1"/>
  <c r="AQ3109" i="1"/>
  <c r="AS3109" i="1" s="1"/>
  <c r="AQ3108" i="1"/>
  <c r="AS3108" i="1" s="1"/>
  <c r="AH3108" i="1"/>
  <c r="C410" i="55"/>
  <c r="AK1189" i="1"/>
  <c r="AJ453" i="1"/>
  <c r="AS389" i="1"/>
  <c r="AU218" i="1"/>
  <c r="AV218" i="1" s="1"/>
  <c r="AU217" i="1"/>
  <c r="AV217" i="1" s="1"/>
  <c r="AU216" i="1"/>
  <c r="AV216" i="1" s="1"/>
  <c r="AU215" i="1"/>
  <c r="AV215" i="1" s="1"/>
  <c r="AU214" i="1"/>
  <c r="AV214" i="1" s="1"/>
  <c r="AU213" i="1"/>
  <c r="AV213" i="1" s="1"/>
  <c r="AU212" i="1"/>
  <c r="AV212" i="1" s="1"/>
  <c r="AU211" i="1"/>
  <c r="AV211" i="1" s="1"/>
  <c r="AU210" i="1"/>
  <c r="AV210" i="1" s="1"/>
  <c r="AU209" i="1"/>
  <c r="AV209" i="1" s="1"/>
  <c r="AU203" i="1"/>
  <c r="AV203" i="1" s="1"/>
  <c r="AU201" i="1"/>
  <c r="AV201" i="1" s="1"/>
  <c r="AU199" i="1"/>
  <c r="AV199" i="1" s="1"/>
  <c r="AU198" i="1"/>
  <c r="AV198" i="1" s="1"/>
  <c r="AU195" i="1"/>
  <c r="AV195" i="1" s="1"/>
  <c r="AU194" i="1"/>
  <c r="AV194" i="1" s="1"/>
  <c r="AU193" i="1"/>
  <c r="AV193" i="1" s="1"/>
  <c r="AU187" i="1"/>
  <c r="AV187" i="1" s="1"/>
  <c r="AU185" i="1"/>
  <c r="AV185" i="1" s="1"/>
  <c r="AU183" i="1"/>
  <c r="AV183" i="1" s="1"/>
  <c r="AU182" i="1"/>
  <c r="AV182" i="1" s="1"/>
  <c r="AU179" i="1"/>
  <c r="AV179" i="1" s="1"/>
  <c r="AU178" i="1"/>
  <c r="AV178" i="1" s="1"/>
  <c r="AU177" i="1"/>
  <c r="AV177" i="1" s="1"/>
  <c r="AU176" i="1"/>
  <c r="AV176" i="1" s="1"/>
  <c r="AU175" i="1"/>
  <c r="AV175" i="1" s="1"/>
  <c r="AU173" i="1"/>
  <c r="AV173" i="1" s="1"/>
  <c r="AU171" i="1"/>
  <c r="AV171" i="1" s="1"/>
  <c r="AU170" i="1"/>
  <c r="AV170" i="1" s="1"/>
  <c r="AN165" i="1"/>
  <c r="AP164" i="1"/>
  <c r="AN164" i="1"/>
  <c r="AU163" i="1"/>
  <c r="AV163" i="1" s="1"/>
  <c r="AU162" i="1"/>
  <c r="AV162" i="1" s="1"/>
  <c r="AP162" i="1"/>
  <c r="AU161" i="1"/>
  <c r="AV161" i="1" s="1"/>
  <c r="AU155" i="1"/>
  <c r="AV155" i="1" s="1"/>
  <c r="AU153" i="1"/>
  <c r="AV153" i="1" s="1"/>
  <c r="AU151" i="1"/>
  <c r="AV151" i="1" s="1"/>
  <c r="AU150" i="1"/>
  <c r="AV150" i="1" s="1"/>
  <c r="AU147" i="1"/>
  <c r="AV147" i="1" s="1"/>
  <c r="AU146" i="1"/>
  <c r="AV146" i="1" s="1"/>
  <c r="AU145" i="1"/>
  <c r="AV145" i="1" s="1"/>
  <c r="AU144" i="1"/>
  <c r="AV144" i="1" s="1"/>
  <c r="AU142" i="1"/>
  <c r="AV142" i="1" s="1"/>
  <c r="AU140" i="1"/>
  <c r="AV140" i="1" s="1"/>
  <c r="AU139" i="1"/>
  <c r="AV139" i="1" s="1"/>
  <c r="AP133" i="1"/>
  <c r="AN133" i="1"/>
  <c r="AP131" i="1"/>
  <c r="AH124" i="1"/>
  <c r="AH123" i="1"/>
  <c r="AH122" i="1"/>
  <c r="AH121" i="1"/>
  <c r="AH120" i="1"/>
  <c r="AU119" i="1"/>
  <c r="AV119" i="1" s="1"/>
  <c r="AH119" i="1"/>
  <c r="AH118" i="1"/>
  <c r="AU117" i="1"/>
  <c r="AV117" i="1" s="1"/>
  <c r="AH117" i="1"/>
  <c r="AH116" i="1"/>
  <c r="AU115" i="1"/>
  <c r="AV115" i="1" s="1"/>
  <c r="AH115" i="1"/>
  <c r="AU114" i="1"/>
  <c r="AV114" i="1" s="1"/>
  <c r="AH114" i="1"/>
  <c r="AH113" i="1"/>
  <c r="AH112" i="1"/>
  <c r="AH111" i="1"/>
  <c r="AH110" i="1"/>
  <c r="AH109" i="1"/>
  <c r="AP108" i="1"/>
  <c r="AH108" i="1"/>
  <c r="AH107" i="1"/>
  <c r="AH106" i="1"/>
  <c r="AH105" i="1"/>
  <c r="AH104" i="1"/>
  <c r="AH103" i="1"/>
  <c r="AH102" i="1"/>
  <c r="AH101" i="1"/>
  <c r="AH100" i="1"/>
  <c r="AN89" i="1"/>
  <c r="AP88" i="1"/>
  <c r="AN88" i="1"/>
  <c r="AP86" i="1"/>
  <c r="AP106" i="1" s="1"/>
  <c r="AP64" i="1"/>
  <c r="C1054" i="55"/>
  <c r="C711" i="55"/>
  <c r="H19" i="4"/>
  <c r="E19" i="4"/>
  <c r="H18" i="4"/>
  <c r="E18" i="4"/>
  <c r="F63" i="64"/>
  <c r="D26" i="64"/>
  <c r="D515" i="64" s="1"/>
  <c r="F16" i="64"/>
  <c r="H16" i="64"/>
  <c r="C26" i="64"/>
  <c r="F41" i="64"/>
  <c r="C42" i="64"/>
  <c r="C814" i="64" s="1"/>
  <c r="D529" i="64"/>
  <c r="C209" i="64"/>
  <c r="F48" i="64"/>
  <c r="F51" i="64"/>
  <c r="C213" i="64"/>
  <c r="F52" i="64"/>
  <c r="C214" i="64"/>
  <c r="F53" i="64"/>
  <c r="C215" i="64"/>
  <c r="F54" i="64"/>
  <c r="C216" i="64"/>
  <c r="F55" i="64"/>
  <c r="F56" i="64"/>
  <c r="F57" i="64"/>
  <c r="F58" i="64"/>
  <c r="F59" i="64"/>
  <c r="D530" i="64"/>
  <c r="AP37" i="64"/>
  <c r="AR37" i="64" s="1"/>
  <c r="D145" i="64"/>
  <c r="D146" i="64"/>
  <c r="F67" i="64"/>
  <c r="F68" i="64"/>
  <c r="F69" i="64"/>
  <c r="D227" i="64"/>
  <c r="F227" i="64" s="1"/>
  <c r="F71" i="64"/>
  <c r="C1415" i="55"/>
  <c r="C1138" i="55"/>
  <c r="C1134" i="55"/>
  <c r="C1133" i="55"/>
  <c r="C1060" i="55"/>
  <c r="C954" i="55"/>
  <c r="D5" i="25"/>
  <c r="F5" i="25" s="1"/>
  <c r="D6" i="25"/>
  <c r="F6" i="25" s="1"/>
  <c r="D7" i="25"/>
  <c r="F7" i="25" s="1"/>
  <c r="F8" i="25"/>
  <c r="F9" i="25"/>
  <c r="F10" i="25"/>
  <c r="F11" i="25"/>
  <c r="F12" i="25"/>
  <c r="F13" i="25"/>
  <c r="F14" i="25"/>
  <c r="F15" i="25"/>
  <c r="F27" i="25"/>
  <c r="F28" i="25"/>
  <c r="J36" i="25"/>
  <c r="J37" i="25"/>
  <c r="J38" i="25"/>
  <c r="J39" i="25"/>
  <c r="F40" i="25"/>
  <c r="J40" i="25"/>
  <c r="J41" i="25"/>
  <c r="J42" i="25"/>
  <c r="F61" i="25"/>
  <c r="F62" i="25"/>
  <c r="F63" i="25"/>
  <c r="F64" i="25"/>
  <c r="F88" i="25"/>
  <c r="D89" i="25"/>
  <c r="F89" i="25" s="1"/>
  <c r="F90" i="25"/>
  <c r="F91" i="25"/>
  <c r="F92" i="25"/>
  <c r="F110" i="25"/>
  <c r="C112" i="25"/>
  <c r="F112" i="25"/>
  <c r="F113" i="25"/>
  <c r="F114" i="25"/>
  <c r="D136" i="25"/>
  <c r="F136" i="25" s="1"/>
  <c r="C138" i="25"/>
  <c r="C161" i="25" s="1"/>
  <c r="D138" i="25"/>
  <c r="D139" i="25"/>
  <c r="F139" i="25" s="1"/>
  <c r="F140" i="25"/>
  <c r="F163" i="25"/>
  <c r="E187" i="25"/>
  <c r="E188" i="25"/>
  <c r="D194" i="25"/>
  <c r="D195" i="25"/>
  <c r="D196" i="25"/>
  <c r="D198" i="25"/>
  <c r="G198" i="25"/>
  <c r="D199" i="25"/>
  <c r="A199" i="25" s="1"/>
  <c r="D200" i="25"/>
  <c r="A200" i="25" s="1"/>
  <c r="G200" i="25" s="1"/>
  <c r="G201" i="25"/>
  <c r="D203" i="25"/>
  <c r="D205" i="25" s="1"/>
  <c r="A203" i="25" s="1"/>
  <c r="G203" i="25" s="1"/>
  <c r="D204" i="25"/>
  <c r="G206" i="25"/>
  <c r="D207" i="25"/>
  <c r="A207" i="25" s="1"/>
  <c r="G208" i="25"/>
  <c r="G211" i="25"/>
  <c r="G212" i="25"/>
  <c r="G213" i="25"/>
  <c r="G214" i="25"/>
  <c r="F250" i="25"/>
  <c r="F252" i="25"/>
  <c r="F253" i="25"/>
  <c r="F254" i="25"/>
  <c r="F255" i="25"/>
  <c r="F257" i="25"/>
  <c r="F258" i="25"/>
  <c r="F259" i="25"/>
  <c r="F260" i="25"/>
  <c r="F261" i="25"/>
  <c r="D267" i="25"/>
  <c r="F267" i="25" s="1"/>
  <c r="D268" i="25"/>
  <c r="F268" i="25" s="1"/>
  <c r="D269" i="25"/>
  <c r="F269" i="25" s="1"/>
  <c r="F280" i="25"/>
  <c r="F281" i="25"/>
  <c r="F282" i="25"/>
  <c r="F283" i="25"/>
  <c r="F284" i="25"/>
  <c r="F285" i="25"/>
  <c r="D286" i="25"/>
  <c r="F286" i="25" s="1"/>
  <c r="F287" i="25"/>
  <c r="F288" i="25"/>
  <c r="D289" i="25"/>
  <c r="F289" i="25" s="1"/>
  <c r="F290" i="25"/>
  <c r="F291" i="25"/>
  <c r="D306" i="25"/>
  <c r="F306" i="25" s="1"/>
  <c r="G318" i="25"/>
  <c r="G320" i="25"/>
  <c r="G322" i="25"/>
  <c r="G324" i="25"/>
  <c r="G326" i="25"/>
  <c r="G328" i="25"/>
  <c r="G334" i="25"/>
  <c r="G336" i="25"/>
  <c r="G338" i="25"/>
  <c r="G342" i="25"/>
  <c r="A343" i="25"/>
  <c r="G343" i="25" s="1"/>
  <c r="G344" i="25"/>
  <c r="G345" i="25"/>
  <c r="G346" i="25"/>
  <c r="G353" i="25"/>
  <c r="G354" i="25"/>
  <c r="G355" i="25"/>
  <c r="G363" i="25"/>
  <c r="G365" i="25"/>
  <c r="G367" i="25"/>
  <c r="G369" i="25"/>
  <c r="G371" i="25"/>
  <c r="G373" i="25"/>
  <c r="G379" i="25"/>
  <c r="G381" i="25"/>
  <c r="G383" i="25"/>
  <c r="G387" i="25"/>
  <c r="G388" i="25"/>
  <c r="G389" i="25"/>
  <c r="G390" i="25"/>
  <c r="G391" i="25"/>
  <c r="G398" i="25"/>
  <c r="G399" i="25"/>
  <c r="G400" i="25"/>
  <c r="G408" i="25"/>
  <c r="G410" i="25"/>
  <c r="G412" i="25"/>
  <c r="G414" i="25"/>
  <c r="G416" i="25"/>
  <c r="G418" i="25"/>
  <c r="G424" i="25"/>
  <c r="A433" i="25" s="1"/>
  <c r="G433" i="25" s="1"/>
  <c r="G426" i="25"/>
  <c r="G428" i="25"/>
  <c r="G434" i="25"/>
  <c r="G435" i="25"/>
  <c r="G436" i="25"/>
  <c r="G443" i="25"/>
  <c r="G444" i="25"/>
  <c r="G445" i="25"/>
  <c r="G453" i="25"/>
  <c r="G455" i="25"/>
  <c r="G457" i="25"/>
  <c r="G459" i="25"/>
  <c r="G461" i="25"/>
  <c r="G463" i="25"/>
  <c r="G465" i="25"/>
  <c r="G471" i="25"/>
  <c r="G472" i="25"/>
  <c r="G475" i="25"/>
  <c r="G476" i="25"/>
  <c r="G479" i="25"/>
  <c r="G485" i="25"/>
  <c r="G486" i="25"/>
  <c r="G487" i="25"/>
  <c r="G494" i="25"/>
  <c r="G495" i="25"/>
  <c r="G496" i="25"/>
  <c r="G503" i="25"/>
  <c r="G504" i="25"/>
  <c r="G506" i="25"/>
  <c r="A515" i="25" s="1"/>
  <c r="G515" i="25" s="1"/>
  <c r="G508" i="25"/>
  <c r="A516" i="25" s="1"/>
  <c r="G516" i="25" s="1"/>
  <c r="G510" i="25"/>
  <c r="A517" i="25" s="1"/>
  <c r="E531" i="25"/>
  <c r="E532" i="25"/>
  <c r="E537" i="25"/>
  <c r="E540" i="25"/>
  <c r="A548" i="25" s="1"/>
  <c r="F540" i="25"/>
  <c r="E542" i="25"/>
  <c r="E543" i="25" s="1"/>
  <c r="A549" i="25" s="1"/>
  <c r="A547" i="25"/>
  <c r="D548" i="25"/>
  <c r="G558" i="25"/>
  <c r="E567" i="25"/>
  <c r="E568" i="25"/>
  <c r="E573" i="25"/>
  <c r="A584" i="25" s="1"/>
  <c r="E576" i="25"/>
  <c r="A585" i="25" s="1"/>
  <c r="F576" i="25"/>
  <c r="E578" i="25"/>
  <c r="E579" i="25" s="1"/>
  <c r="A586" i="25" s="1"/>
  <c r="E602" i="25"/>
  <c r="E603" i="25"/>
  <c r="E608" i="25"/>
  <c r="A619" i="25" s="1"/>
  <c r="E611" i="25"/>
  <c r="A620" i="25" s="1"/>
  <c r="F611" i="25"/>
  <c r="E613" i="25"/>
  <c r="E614" i="25" s="1"/>
  <c r="A621" i="25" s="1"/>
  <c r="E638" i="25"/>
  <c r="E639" i="25"/>
  <c r="E644" i="25"/>
  <c r="A655" i="25" s="1"/>
  <c r="E647" i="25"/>
  <c r="A656" i="25" s="1"/>
  <c r="F647" i="25"/>
  <c r="E649" i="25"/>
  <c r="E650" i="25" s="1"/>
  <c r="A657" i="25" s="1"/>
  <c r="E674" i="25"/>
  <c r="E675" i="25"/>
  <c r="E680" i="25"/>
  <c r="A691" i="25" s="1"/>
  <c r="E683" i="25"/>
  <c r="A692" i="25" s="1"/>
  <c r="F683" i="25"/>
  <c r="E685" i="25"/>
  <c r="E686" i="25" s="1"/>
  <c r="A693" i="25" s="1"/>
  <c r="D844" i="11"/>
  <c r="T12" i="4"/>
  <c r="U14" i="4"/>
  <c r="V14" i="4" s="1"/>
  <c r="U16" i="4"/>
  <c r="U17" i="4"/>
  <c r="U18" i="4"/>
  <c r="U19" i="4"/>
  <c r="E20" i="4"/>
  <c r="E21" i="4"/>
  <c r="H25" i="4"/>
  <c r="H3" i="27"/>
  <c r="J3" i="27"/>
  <c r="O3" i="27"/>
  <c r="Q3" i="27"/>
  <c r="U3" i="27"/>
  <c r="W3" i="27"/>
  <c r="AG6" i="27"/>
  <c r="AK8" i="27"/>
  <c r="X9" i="27"/>
  <c r="X10" i="27" s="1"/>
  <c r="Z9" i="27"/>
  <c r="Z10" i="27" s="1"/>
  <c r="AC10" i="27" s="1"/>
  <c r="C69" i="27" s="1"/>
  <c r="I295" i="27" s="1"/>
  <c r="K295" i="27" s="1"/>
  <c r="AK9" i="27"/>
  <c r="C10" i="27"/>
  <c r="P180" i="27" s="1"/>
  <c r="R180" i="27" s="1"/>
  <c r="W10" i="27"/>
  <c r="AK10" i="27"/>
  <c r="A11" i="27"/>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136" i="27" s="1"/>
  <c r="A137" i="27" s="1"/>
  <c r="A138" i="27" s="1"/>
  <c r="A139" i="27" s="1"/>
  <c r="A140" i="27" s="1"/>
  <c r="A141" i="27" s="1"/>
  <c r="A142" i="27" s="1"/>
  <c r="A144" i="27" s="1"/>
  <c r="A179" i="27" s="1"/>
  <c r="A180" i="27" s="1"/>
  <c r="A191" i="27" s="1"/>
  <c r="A192" i="27" s="1"/>
  <c r="A193" i="27" s="1"/>
  <c r="A194" i="27" s="1"/>
  <c r="A195" i="27" s="1"/>
  <c r="A196" i="27" s="1"/>
  <c r="A197" i="27" s="1"/>
  <c r="A198" i="27" s="1"/>
  <c r="A199" i="27" s="1"/>
  <c r="A200" i="27" s="1"/>
  <c r="A201" i="27" s="1"/>
  <c r="A202" i="27" s="1"/>
  <c r="A203" i="27" s="1"/>
  <c r="A204" i="27" s="1"/>
  <c r="A205" i="27" s="1"/>
  <c r="C11" i="27"/>
  <c r="I1895" i="27" s="1"/>
  <c r="K1895" i="27" s="1"/>
  <c r="P11" i="27"/>
  <c r="R11" i="27" s="1"/>
  <c r="X11" i="27"/>
  <c r="X12" i="27" s="1"/>
  <c r="X13" i="27" s="1"/>
  <c r="X14" i="27" s="1"/>
  <c r="X15" i="27" s="1"/>
  <c r="AK11" i="27"/>
  <c r="C12" i="27"/>
  <c r="P53" i="27" s="1"/>
  <c r="R53" i="27" s="1"/>
  <c r="W12" i="27"/>
  <c r="W36" i="27" s="1"/>
  <c r="AK12" i="27"/>
  <c r="C13" i="27"/>
  <c r="I274" i="27" s="1"/>
  <c r="K274" i="27" s="1"/>
  <c r="W13" i="27"/>
  <c r="W37" i="27" s="1"/>
  <c r="AK13" i="27"/>
  <c r="C14" i="27"/>
  <c r="D14" i="27"/>
  <c r="I1495" i="27" s="1"/>
  <c r="K1495" i="27" s="1"/>
  <c r="W14" i="27"/>
  <c r="AK14" i="27"/>
  <c r="C15" i="27"/>
  <c r="I2029" i="27" s="1"/>
  <c r="K2029" i="27" s="1"/>
  <c r="W15" i="27"/>
  <c r="AK15" i="27"/>
  <c r="C16" i="27"/>
  <c r="I2371" i="27" s="1"/>
  <c r="D16" i="27"/>
  <c r="X16" i="27"/>
  <c r="X17" i="27" s="1"/>
  <c r="Z16" i="27"/>
  <c r="AC16" i="27" s="1"/>
  <c r="I2683" i="27" s="1"/>
  <c r="K2683" i="27" s="1"/>
  <c r="AK16" i="27"/>
  <c r="C17" i="27"/>
  <c r="I1534" i="27" s="1"/>
  <c r="K1534" i="27" s="1"/>
  <c r="D17" i="27"/>
  <c r="AK17" i="27"/>
  <c r="C18" i="27"/>
  <c r="I65" i="27" s="1"/>
  <c r="K65" i="27" s="1"/>
  <c r="X18" i="27"/>
  <c r="X34" i="27" s="1"/>
  <c r="Z18" i="27"/>
  <c r="AC18" i="27" s="1"/>
  <c r="C80" i="27" s="1"/>
  <c r="AK18" i="27"/>
  <c r="W19" i="27"/>
  <c r="X19" i="27"/>
  <c r="X20" i="27" s="1"/>
  <c r="Z19" i="27"/>
  <c r="Z20" i="27" s="1"/>
  <c r="AC20" i="27" s="1"/>
  <c r="AK19" i="27"/>
  <c r="W20" i="27"/>
  <c r="AK20" i="27"/>
  <c r="X21" i="27"/>
  <c r="AC21" i="27"/>
  <c r="C83" i="27" s="1"/>
  <c r="I1285" i="27" s="1"/>
  <c r="K1285" i="27" s="1"/>
  <c r="AK21" i="27"/>
  <c r="AC22" i="27"/>
  <c r="C84" i="27" s="1"/>
  <c r="AK22" i="27"/>
  <c r="X23" i="27"/>
  <c r="Z23" i="27"/>
  <c r="AC23" i="27" s="1"/>
  <c r="C85" i="27" s="1"/>
  <c r="AK23" i="27"/>
  <c r="AC24" i="27"/>
  <c r="C86" i="27" s="1"/>
  <c r="AK24" i="27"/>
  <c r="C25" i="27"/>
  <c r="I783" i="27" s="1"/>
  <c r="K783" i="27" s="1"/>
  <c r="AC25" i="27"/>
  <c r="C87" i="27" s="1"/>
  <c r="I2166" i="27" s="1"/>
  <c r="K2166" i="27" s="1"/>
  <c r="AK25" i="27"/>
  <c r="C26" i="27"/>
  <c r="AC26" i="27"/>
  <c r="C88" i="27" s="1"/>
  <c r="I1083" i="27" s="1"/>
  <c r="AK26" i="27"/>
  <c r="C27" i="27"/>
  <c r="I1688" i="27" s="1"/>
  <c r="K1688" i="27" s="1"/>
  <c r="AC27" i="27"/>
  <c r="C89" i="27" s="1"/>
  <c r="AK27" i="27"/>
  <c r="AC28" i="27"/>
  <c r="C90" i="27" s="1"/>
  <c r="I947" i="27" s="1"/>
  <c r="K947" i="27" s="1"/>
  <c r="AK28" i="27"/>
  <c r="C29" i="27"/>
  <c r="I1184" i="27" s="1"/>
  <c r="K1184" i="27" s="1"/>
  <c r="W29" i="27"/>
  <c r="AK29" i="27"/>
  <c r="C30" i="27"/>
  <c r="D30" i="27"/>
  <c r="AC30" i="27"/>
  <c r="C136" i="27" s="1"/>
  <c r="I1168" i="27" s="1"/>
  <c r="K1168" i="27" s="1"/>
  <c r="AK30" i="27"/>
  <c r="C31" i="27"/>
  <c r="D31" i="27"/>
  <c r="I1031" i="27" s="1"/>
  <c r="K1031" i="27" s="1"/>
  <c r="AK31" i="27"/>
  <c r="D32" i="27"/>
  <c r="I1061" i="27" s="1"/>
  <c r="K1061" i="27" s="1"/>
  <c r="AC32" i="27"/>
  <c r="I2694" i="27" s="1"/>
  <c r="K2694" i="27" s="1"/>
  <c r="AK32" i="27"/>
  <c r="D33" i="27"/>
  <c r="I2172" i="27" s="1"/>
  <c r="K2172" i="27" s="1"/>
  <c r="AC33" i="27"/>
  <c r="AK33" i="27"/>
  <c r="W34" i="27"/>
  <c r="Y34" i="27"/>
  <c r="AK34" i="27"/>
  <c r="W35" i="27"/>
  <c r="AK35" i="27"/>
  <c r="AK36" i="27"/>
  <c r="AC38" i="27"/>
  <c r="C140" i="27" s="1"/>
  <c r="D40" i="27"/>
  <c r="I1490" i="27" s="1"/>
  <c r="K1490" i="27" s="1"/>
  <c r="C41" i="27"/>
  <c r="P495" i="27" s="1"/>
  <c r="R495" i="27" s="1"/>
  <c r="C61" i="27"/>
  <c r="D61" i="27"/>
  <c r="I95" i="27" s="1"/>
  <c r="K95" i="27" s="1"/>
  <c r="C66" i="27"/>
  <c r="I727" i="27" s="1"/>
  <c r="K727" i="27" s="1"/>
  <c r="C67" i="27"/>
  <c r="I772" i="27" s="1"/>
  <c r="K772" i="27" s="1"/>
  <c r="P69" i="27"/>
  <c r="R69" i="27" s="1"/>
  <c r="I140" i="27"/>
  <c r="K140" i="27" s="1"/>
  <c r="C141" i="27"/>
  <c r="I152" i="27"/>
  <c r="K152" i="27" s="1"/>
  <c r="I154" i="27"/>
  <c r="K154" i="27" s="1"/>
  <c r="K156" i="27"/>
  <c r="I184" i="27"/>
  <c r="K184" i="27" s="1"/>
  <c r="K185" i="27"/>
  <c r="P211" i="27"/>
  <c r="R211" i="27" s="1"/>
  <c r="I213" i="27"/>
  <c r="K213" i="27" s="1"/>
  <c r="P213" i="27"/>
  <c r="R213" i="27" s="1"/>
  <c r="P214" i="27"/>
  <c r="R214" i="27" s="1"/>
  <c r="P215" i="27"/>
  <c r="R215" i="27" s="1"/>
  <c r="P216" i="27"/>
  <c r="R216" i="27" s="1"/>
  <c r="P217" i="27"/>
  <c r="R217" i="27" s="1"/>
  <c r="P218" i="27"/>
  <c r="R218" i="27" s="1"/>
  <c r="I240" i="27"/>
  <c r="K240" i="27" s="1"/>
  <c r="K244" i="27"/>
  <c r="K255" i="27"/>
  <c r="K256" i="27"/>
  <c r="I273" i="27"/>
  <c r="K273" i="27" s="1"/>
  <c r="H310" i="27"/>
  <c r="I315" i="27"/>
  <c r="K315" i="27" s="1"/>
  <c r="H332" i="27"/>
  <c r="F334" i="27"/>
  <c r="H334" i="27"/>
  <c r="F335" i="27"/>
  <c r="P337" i="27"/>
  <c r="R337" i="27" s="1"/>
  <c r="P350" i="27"/>
  <c r="R350" i="27" s="1"/>
  <c r="H352" i="27"/>
  <c r="F354" i="27"/>
  <c r="H354" i="27"/>
  <c r="F355" i="27"/>
  <c r="I358" i="27"/>
  <c r="K358" i="27" s="1"/>
  <c r="P366" i="27"/>
  <c r="R366" i="27" s="1"/>
  <c r="H376" i="27"/>
  <c r="F378" i="27"/>
  <c r="H378" i="27"/>
  <c r="H407" i="27"/>
  <c r="F409" i="27"/>
  <c r="H409" i="27"/>
  <c r="P432" i="27"/>
  <c r="R432" i="27" s="1"/>
  <c r="P438" i="27"/>
  <c r="R438" i="27" s="1"/>
  <c r="P439" i="27"/>
  <c r="R439" i="27" s="1"/>
  <c r="P440" i="27"/>
  <c r="R440" i="27" s="1"/>
  <c r="I447" i="27"/>
  <c r="K447" i="27" s="1"/>
  <c r="P450" i="27"/>
  <c r="R450" i="27" s="1"/>
  <c r="P451" i="27"/>
  <c r="R451" i="27" s="1"/>
  <c r="P456" i="27"/>
  <c r="R456" i="27" s="1"/>
  <c r="P457" i="27"/>
  <c r="R457" i="27" s="1"/>
  <c r="P458" i="27"/>
  <c r="R458" i="27" s="1"/>
  <c r="P469" i="27"/>
  <c r="R469" i="27" s="1"/>
  <c r="P474" i="27"/>
  <c r="R474" i="27" s="1"/>
  <c r="P475" i="27"/>
  <c r="R475" i="27" s="1"/>
  <c r="P476" i="27"/>
  <c r="R476" i="27" s="1"/>
  <c r="I484" i="27"/>
  <c r="K484" i="27" s="1"/>
  <c r="P491" i="27"/>
  <c r="R491" i="27" s="1"/>
  <c r="P493" i="27"/>
  <c r="R493" i="27" s="1"/>
  <c r="P494" i="27"/>
  <c r="R494" i="27" s="1"/>
  <c r="I499" i="27"/>
  <c r="K499" i="27" s="1"/>
  <c r="R499" i="27"/>
  <c r="I500" i="27"/>
  <c r="K500" i="27" s="1"/>
  <c r="P509" i="27"/>
  <c r="R509" i="27" s="1"/>
  <c r="P511" i="27"/>
  <c r="R511" i="27" s="1"/>
  <c r="P512" i="27"/>
  <c r="R512" i="27" s="1"/>
  <c r="P513" i="27"/>
  <c r="R513" i="27" s="1"/>
  <c r="P516" i="27"/>
  <c r="R516" i="27" s="1"/>
  <c r="R517" i="27"/>
  <c r="J527" i="27"/>
  <c r="J528" i="27"/>
  <c r="J529" i="27"/>
  <c r="P529" i="27"/>
  <c r="R529" i="27" s="1"/>
  <c r="J530" i="27"/>
  <c r="J531" i="27"/>
  <c r="P531" i="27"/>
  <c r="R531" i="27" s="1"/>
  <c r="P532" i="27"/>
  <c r="R532" i="27" s="1"/>
  <c r="P535" i="27"/>
  <c r="R535" i="27" s="1"/>
  <c r="R537" i="27"/>
  <c r="J543" i="27"/>
  <c r="J544" i="27"/>
  <c r="J545" i="27"/>
  <c r="J546" i="27"/>
  <c r="J547" i="27"/>
  <c r="P555" i="27"/>
  <c r="R555" i="27" s="1"/>
  <c r="I559" i="27"/>
  <c r="K559" i="27" s="1"/>
  <c r="P560" i="27"/>
  <c r="R560" i="27" s="1"/>
  <c r="I561" i="27"/>
  <c r="K561" i="27" s="1"/>
  <c r="P561" i="27"/>
  <c r="R561" i="27" s="1"/>
  <c r="P562" i="27"/>
  <c r="R562" i="27" s="1"/>
  <c r="J568" i="27"/>
  <c r="J569" i="27"/>
  <c r="J570" i="27"/>
  <c r="J571" i="27"/>
  <c r="J572" i="27"/>
  <c r="I575" i="27"/>
  <c r="K575" i="27" s="1"/>
  <c r="J583" i="27"/>
  <c r="J584" i="27"/>
  <c r="J585" i="27"/>
  <c r="J586" i="27"/>
  <c r="J587" i="27"/>
  <c r="I590" i="27"/>
  <c r="K590" i="27" s="1"/>
  <c r="C593" i="27"/>
  <c r="P607" i="27"/>
  <c r="R607" i="27" s="1"/>
  <c r="P620" i="27"/>
  <c r="R620" i="27" s="1"/>
  <c r="P636" i="27"/>
  <c r="R636" i="27" s="1"/>
  <c r="P637" i="27"/>
  <c r="R637" i="27" s="1"/>
  <c r="P638" i="27"/>
  <c r="R638" i="27" s="1"/>
  <c r="I643" i="27"/>
  <c r="K643" i="27" s="1"/>
  <c r="I644" i="27"/>
  <c r="K644" i="27" s="1"/>
  <c r="K645" i="27"/>
  <c r="P648" i="27"/>
  <c r="R648" i="27" s="1"/>
  <c r="R652" i="27" s="1"/>
  <c r="P658" i="27"/>
  <c r="R658" i="27" s="1"/>
  <c r="R662" i="27" s="1"/>
  <c r="I662" i="27"/>
  <c r="K662" i="27" s="1"/>
  <c r="I663" i="27"/>
  <c r="K663" i="27" s="1"/>
  <c r="K664" i="27"/>
  <c r="P668" i="27"/>
  <c r="R668" i="27" s="1"/>
  <c r="R672" i="27" s="1"/>
  <c r="P679" i="27"/>
  <c r="R679" i="27" s="1"/>
  <c r="R683" i="27" s="1"/>
  <c r="I680" i="27"/>
  <c r="K680" i="27" s="1"/>
  <c r="I681" i="27"/>
  <c r="K681" i="27" s="1"/>
  <c r="I683" i="27"/>
  <c r="K683" i="27" s="1"/>
  <c r="I689" i="27"/>
  <c r="K689" i="27" s="1"/>
  <c r="I690" i="27"/>
  <c r="K690" i="27" s="1"/>
  <c r="P690" i="27"/>
  <c r="R690" i="27" s="1"/>
  <c r="P692" i="27"/>
  <c r="R692" i="27" s="1"/>
  <c r="P693" i="27"/>
  <c r="R693" i="27" s="1"/>
  <c r="P694" i="27"/>
  <c r="R694" i="27" s="1"/>
  <c r="P695" i="27"/>
  <c r="R695" i="27" s="1"/>
  <c r="P705" i="27"/>
  <c r="R705" i="27" s="1"/>
  <c r="I706" i="27"/>
  <c r="P707" i="27"/>
  <c r="R707" i="27" s="1"/>
  <c r="I708" i="27"/>
  <c r="P708" i="27"/>
  <c r="R708" i="27" s="1"/>
  <c r="P709" i="27"/>
  <c r="R709" i="27" s="1"/>
  <c r="P710" i="27"/>
  <c r="R710" i="27" s="1"/>
  <c r="P721" i="27"/>
  <c r="R721" i="27" s="1"/>
  <c r="I722" i="27"/>
  <c r="K722" i="27" s="1"/>
  <c r="I743" i="27" s="1"/>
  <c r="K743" i="27" s="1"/>
  <c r="I723" i="27"/>
  <c r="K723" i="27" s="1"/>
  <c r="P723" i="27"/>
  <c r="R723" i="27" s="1"/>
  <c r="K724" i="27"/>
  <c r="P724" i="27"/>
  <c r="R724" i="27" s="1"/>
  <c r="I725" i="27"/>
  <c r="K725" i="27" s="1"/>
  <c r="P725" i="27"/>
  <c r="R725" i="27" s="1"/>
  <c r="P726" i="27"/>
  <c r="R726" i="27" s="1"/>
  <c r="K728" i="27"/>
  <c r="K729" i="27"/>
  <c r="R740" i="27"/>
  <c r="R745" i="27"/>
  <c r="I746" i="27"/>
  <c r="K746" i="27" s="1"/>
  <c r="I747" i="27"/>
  <c r="K747" i="27" s="1"/>
  <c r="K750" i="27"/>
  <c r="K751" i="27"/>
  <c r="K752" i="27"/>
  <c r="R753" i="27"/>
  <c r="A754" i="27"/>
  <c r="P762" i="27"/>
  <c r="R762" i="27" s="1"/>
  <c r="R769" i="27" s="1"/>
  <c r="R771" i="27" s="1"/>
  <c r="I776" i="27"/>
  <c r="K776" i="27" s="1"/>
  <c r="R779" i="27"/>
  <c r="R792" i="27" s="1"/>
  <c r="P782" i="27"/>
  <c r="R782" i="27" s="1"/>
  <c r="R783" i="27"/>
  <c r="R784" i="27"/>
  <c r="R785" i="27"/>
  <c r="R786" i="27"/>
  <c r="R788" i="27"/>
  <c r="R789" i="27"/>
  <c r="R798" i="27"/>
  <c r="R810" i="27" s="1"/>
  <c r="P801" i="27"/>
  <c r="R801" i="27" s="1"/>
  <c r="R802" i="27"/>
  <c r="R803" i="27"/>
  <c r="R804" i="27"/>
  <c r="R805" i="27"/>
  <c r="R806" i="27"/>
  <c r="R807" i="27"/>
  <c r="K817" i="27"/>
  <c r="K818" i="27"/>
  <c r="K819" i="27"/>
  <c r="K820" i="27"/>
  <c r="I821" i="27"/>
  <c r="K821" i="27" s="1"/>
  <c r="I822" i="27"/>
  <c r="K822" i="27" s="1"/>
  <c r="K823" i="27"/>
  <c r="R834" i="27"/>
  <c r="R847" i="27" s="1"/>
  <c r="K835" i="27"/>
  <c r="K836" i="27"/>
  <c r="K837" i="27"/>
  <c r="P837" i="27"/>
  <c r="R837" i="27" s="1"/>
  <c r="K838" i="27"/>
  <c r="R838" i="27"/>
  <c r="R839" i="27"/>
  <c r="R840" i="27"/>
  <c r="K841" i="27"/>
  <c r="R841" i="27"/>
  <c r="R843" i="27"/>
  <c r="R844" i="27"/>
  <c r="K853" i="27"/>
  <c r="K854" i="27"/>
  <c r="H855" i="27"/>
  <c r="K855" i="27"/>
  <c r="K856" i="27"/>
  <c r="H859" i="27"/>
  <c r="K859" i="27"/>
  <c r="R869" i="27"/>
  <c r="R870" i="27"/>
  <c r="R871" i="27"/>
  <c r="I915" i="27"/>
  <c r="K915" i="27"/>
  <c r="I916" i="27"/>
  <c r="K916" i="27" s="1"/>
  <c r="I917" i="27"/>
  <c r="K917" i="27" s="1"/>
  <c r="I918" i="27"/>
  <c r="K918" i="27" s="1"/>
  <c r="I919" i="27"/>
  <c r="K919" i="27" s="1"/>
  <c r="I920" i="27"/>
  <c r="I950" i="27"/>
  <c r="K950" i="27" s="1"/>
  <c r="I951" i="27"/>
  <c r="K951" i="27" s="1"/>
  <c r="I952" i="27"/>
  <c r="K952" i="27" s="1"/>
  <c r="I953" i="27"/>
  <c r="K953" i="27" s="1"/>
  <c r="I954" i="27"/>
  <c r="K954" i="27" s="1"/>
  <c r="I955" i="27"/>
  <c r="K955" i="27" s="1"/>
  <c r="I979" i="27"/>
  <c r="K979" i="27" s="1"/>
  <c r="I980" i="27"/>
  <c r="K980" i="27" s="1"/>
  <c r="I981" i="27"/>
  <c r="K981" i="27" s="1"/>
  <c r="I982" i="27"/>
  <c r="K982" i="27" s="1"/>
  <c r="I983" i="27"/>
  <c r="K983" i="27" s="1"/>
  <c r="I984" i="27"/>
  <c r="K984" i="27" s="1"/>
  <c r="I1013" i="27"/>
  <c r="I2524" i="27" s="1"/>
  <c r="K2524" i="27" s="1"/>
  <c r="I1015" i="27"/>
  <c r="I1016" i="27"/>
  <c r="K1016" i="27" s="1"/>
  <c r="I1017" i="27"/>
  <c r="I1018" i="27"/>
  <c r="K1018" i="27" s="1"/>
  <c r="I1019" i="27"/>
  <c r="I1020" i="27"/>
  <c r="K1020" i="27" s="1"/>
  <c r="I1030" i="27"/>
  <c r="K1030" i="27" s="1"/>
  <c r="I1032" i="27"/>
  <c r="K1032" i="27" s="1"/>
  <c r="I1033" i="27"/>
  <c r="K1033" i="27" s="1"/>
  <c r="I1034" i="27"/>
  <c r="K1034" i="27" s="1"/>
  <c r="I1035" i="27"/>
  <c r="K1035" i="27" s="1"/>
  <c r="I1045" i="27"/>
  <c r="K1045" i="27" s="1"/>
  <c r="I1047" i="27"/>
  <c r="K1047" i="27" s="1"/>
  <c r="I1048" i="27"/>
  <c r="K1048" i="27" s="1"/>
  <c r="I1049" i="27"/>
  <c r="K1049" i="27" s="1"/>
  <c r="I1050" i="27"/>
  <c r="K1050" i="27" s="1"/>
  <c r="I1060" i="27"/>
  <c r="K1060" i="27" s="1"/>
  <c r="I1062" i="27"/>
  <c r="K1062" i="27" s="1"/>
  <c r="I1063" i="27"/>
  <c r="K1063" i="27"/>
  <c r="I1064" i="27"/>
  <c r="K1064" i="27" s="1"/>
  <c r="I1085" i="27"/>
  <c r="K1086" i="27"/>
  <c r="K1088" i="27"/>
  <c r="I1089" i="27"/>
  <c r="K1089" i="27" s="1"/>
  <c r="K1090" i="27"/>
  <c r="K1091" i="27"/>
  <c r="I1101" i="27"/>
  <c r="K1101" i="27" s="1"/>
  <c r="I1102" i="27"/>
  <c r="K1102" i="27" s="1"/>
  <c r="I1114" i="27"/>
  <c r="K1114" i="27" s="1"/>
  <c r="I1115" i="27"/>
  <c r="K1115" i="27" s="1"/>
  <c r="I1131" i="27"/>
  <c r="K1131" i="27" s="1"/>
  <c r="K1132" i="27"/>
  <c r="K1133" i="27"/>
  <c r="I1146" i="27"/>
  <c r="K1146" i="27"/>
  <c r="I1181" i="27"/>
  <c r="K1181" i="27" s="1"/>
  <c r="I1182" i="27"/>
  <c r="K1182" i="27" s="1"/>
  <c r="I1183" i="27"/>
  <c r="K1183" i="27" s="1"/>
  <c r="I1185" i="27"/>
  <c r="K1185" i="27" s="1"/>
  <c r="I1198" i="27"/>
  <c r="K1198" i="27" s="1"/>
  <c r="I1204" i="27"/>
  <c r="K1204" i="27" s="1"/>
  <c r="I1206" i="27"/>
  <c r="K1206" i="27" s="1"/>
  <c r="I1209" i="27"/>
  <c r="K1209" i="27" s="1"/>
  <c r="I1219" i="27"/>
  <c r="K1219" i="27" s="1"/>
  <c r="I1220" i="27"/>
  <c r="K1220" i="27" s="1"/>
  <c r="I1239" i="27"/>
  <c r="K1239" i="27" s="1"/>
  <c r="I1257" i="27"/>
  <c r="K1257" i="27" s="1"/>
  <c r="I1271" i="27"/>
  <c r="K1271" i="27" s="1"/>
  <c r="I1288" i="27"/>
  <c r="K1288" i="27" s="1"/>
  <c r="I1292" i="27"/>
  <c r="K1292" i="27" s="1"/>
  <c r="I1307" i="27"/>
  <c r="K1307" i="27" s="1"/>
  <c r="I1310" i="27"/>
  <c r="K1310" i="27" s="1"/>
  <c r="I1327" i="27"/>
  <c r="K1327" i="27" s="1"/>
  <c r="I1340" i="27"/>
  <c r="K1340" i="27" s="1"/>
  <c r="I1352" i="27"/>
  <c r="K1352" i="27" s="1"/>
  <c r="I1368" i="27"/>
  <c r="K1368" i="27" s="1"/>
  <c r="I1424" i="27"/>
  <c r="K1424" i="27" s="1"/>
  <c r="I1436" i="27"/>
  <c r="K1436" i="27" s="1"/>
  <c r="K1448" i="27"/>
  <c r="I1450" i="27"/>
  <c r="K1450" i="27" s="1"/>
  <c r="I1463" i="27"/>
  <c r="K1463" i="27" s="1"/>
  <c r="I1465" i="27"/>
  <c r="K1465" i="27" s="1"/>
  <c r="I1478" i="27"/>
  <c r="K1478" i="27" s="1"/>
  <c r="I1479" i="27"/>
  <c r="K1479" i="27" s="1"/>
  <c r="K1493" i="27"/>
  <c r="I1494" i="27"/>
  <c r="K1494" i="27" s="1"/>
  <c r="I1505" i="27"/>
  <c r="K1505" i="27" s="1"/>
  <c r="O1506" i="27"/>
  <c r="O1507" i="27"/>
  <c r="I1508" i="27"/>
  <c r="K1508" i="27" s="1"/>
  <c r="K1509" i="27"/>
  <c r="I1518" i="27"/>
  <c r="K1518" i="27" s="1"/>
  <c r="I1521" i="27"/>
  <c r="K1521" i="27" s="1"/>
  <c r="K1522" i="27"/>
  <c r="I1533" i="27"/>
  <c r="K1533" i="27" s="1"/>
  <c r="I1545" i="27"/>
  <c r="K1545" i="27" s="1"/>
  <c r="I1557" i="27"/>
  <c r="K1557" i="27" s="1"/>
  <c r="I1558" i="27"/>
  <c r="K1558" i="27" s="1"/>
  <c r="I1559" i="27"/>
  <c r="K1559" i="27" s="1"/>
  <c r="I1560" i="27"/>
  <c r="K1560" i="27" s="1"/>
  <c r="I1561" i="27"/>
  <c r="K1561" i="27" s="1"/>
  <c r="I1579" i="27"/>
  <c r="K1579" i="27" s="1"/>
  <c r="K1597" i="27"/>
  <c r="K1598" i="27"/>
  <c r="K1609" i="27"/>
  <c r="K1613" i="27" s="1"/>
  <c r="K1618" i="27"/>
  <c r="K1621" i="27" s="1"/>
  <c r="K1625" i="27"/>
  <c r="K1628" i="27" s="1"/>
  <c r="I1638" i="27"/>
  <c r="K1638" i="27" s="1"/>
  <c r="I1640" i="27"/>
  <c r="K1640" i="27" s="1"/>
  <c r="K1652" i="27"/>
  <c r="K1653" i="27"/>
  <c r="K1654" i="27"/>
  <c r="K1682" i="27"/>
  <c r="K1685" i="27"/>
  <c r="K1686" i="27"/>
  <c r="K1687" i="27"/>
  <c r="K1699" i="27"/>
  <c r="K1700" i="27"/>
  <c r="K1701" i="27"/>
  <c r="K1713" i="27"/>
  <c r="K1714" i="27"/>
  <c r="I1715" i="27"/>
  <c r="K1715" i="27" s="1"/>
  <c r="K1716" i="27"/>
  <c r="K1717" i="27"/>
  <c r="K1724" i="27"/>
  <c r="K1727" i="27"/>
  <c r="I1735" i="27"/>
  <c r="K1735" i="27" s="1"/>
  <c r="I1737" i="27"/>
  <c r="I1738" i="27"/>
  <c r="K1738" i="27" s="1"/>
  <c r="I1739" i="27"/>
  <c r="K1739" i="27" s="1"/>
  <c r="I1742" i="27"/>
  <c r="K1742" i="27" s="1"/>
  <c r="I1753" i="27"/>
  <c r="K1753" i="27" s="1"/>
  <c r="I1755" i="27"/>
  <c r="K1755" i="27" s="1"/>
  <c r="I1756" i="27"/>
  <c r="K1756" i="27" s="1"/>
  <c r="I1758" i="27"/>
  <c r="K1758" i="27" s="1"/>
  <c r="I1760" i="27"/>
  <c r="K1760" i="27" s="1"/>
  <c r="I1771" i="27"/>
  <c r="K1771" i="27" s="1"/>
  <c r="I1773" i="27"/>
  <c r="K1773" i="27" s="1"/>
  <c r="I1774" i="27"/>
  <c r="K1774" i="27" s="1"/>
  <c r="I1778" i="27"/>
  <c r="K1778" i="27" s="1"/>
  <c r="I1801" i="27"/>
  <c r="I1809" i="27"/>
  <c r="I1817" i="27"/>
  <c r="I1829" i="27"/>
  <c r="K1829" i="27" s="1"/>
  <c r="I1844" i="27"/>
  <c r="K1844" i="27" s="1"/>
  <c r="I1858" i="27"/>
  <c r="K1858" i="27" s="1"/>
  <c r="I1890" i="27"/>
  <c r="K1890" i="27" s="1"/>
  <c r="I1896" i="27"/>
  <c r="K1896" i="27" s="1"/>
  <c r="I1908" i="27"/>
  <c r="K1908" i="27" s="1"/>
  <c r="I1916" i="27"/>
  <c r="K1916" i="27" s="1"/>
  <c r="I1928" i="27"/>
  <c r="K1928" i="27" s="1"/>
  <c r="I1932" i="27"/>
  <c r="K1932" i="27" s="1"/>
  <c r="I1947" i="27"/>
  <c r="K1947" i="27" s="1"/>
  <c r="I1950" i="27"/>
  <c r="K1950" i="27" s="1"/>
  <c r="I1951" i="27"/>
  <c r="K1951" i="27" s="1"/>
  <c r="I1972" i="27"/>
  <c r="K1972" i="27" s="1"/>
  <c r="I1973" i="27"/>
  <c r="K1973" i="27" s="1"/>
  <c r="I1974" i="27"/>
  <c r="K1974" i="27" s="1"/>
  <c r="I1975" i="27"/>
  <c r="K1975" i="27" s="1"/>
  <c r="I1996" i="27"/>
  <c r="K1996" i="27" s="1"/>
  <c r="I1997" i="27"/>
  <c r="K1997" i="27" s="1"/>
  <c r="I1998" i="27"/>
  <c r="K1998" i="27" s="1"/>
  <c r="I1999" i="27"/>
  <c r="K1999" i="27" s="1"/>
  <c r="K2016" i="27"/>
  <c r="K2017" i="27"/>
  <c r="K2018" i="27"/>
  <c r="I2027" i="27"/>
  <c r="K2027" i="27" s="1"/>
  <c r="I2031" i="27"/>
  <c r="K2031" i="27" s="1"/>
  <c r="I2039" i="27"/>
  <c r="K2039" i="27" s="1"/>
  <c r="K2042" i="27" s="1"/>
  <c r="I2047" i="27"/>
  <c r="K2047" i="27" s="1"/>
  <c r="I2048" i="27"/>
  <c r="K2048" i="27" s="1"/>
  <c r="I2052" i="27"/>
  <c r="K2052" i="27" s="1"/>
  <c r="I2054" i="27"/>
  <c r="K2054" i="27" s="1"/>
  <c r="I2055" i="27"/>
  <c r="K2055" i="27" s="1"/>
  <c r="I2056" i="27"/>
  <c r="K2056" i="27" s="1"/>
  <c r="I2067" i="27"/>
  <c r="K2067" i="27" s="1"/>
  <c r="I2069" i="27"/>
  <c r="K2069" i="27" s="1"/>
  <c r="I2072" i="27"/>
  <c r="K2072" i="27" s="1"/>
  <c r="I2073" i="27"/>
  <c r="K2073" i="27" s="1"/>
  <c r="I2074" i="27"/>
  <c r="K2074" i="27" s="1"/>
  <c r="I2076" i="27"/>
  <c r="K2076" i="27" s="1"/>
  <c r="I2086" i="27"/>
  <c r="K2086" i="27" s="1"/>
  <c r="I2087" i="27"/>
  <c r="K2087" i="27" s="1"/>
  <c r="H2097" i="27"/>
  <c r="I2099" i="27"/>
  <c r="K2099" i="27" s="1"/>
  <c r="I2100" i="27"/>
  <c r="K2100" i="27" s="1"/>
  <c r="I2112" i="27"/>
  <c r="K2112" i="27" s="1"/>
  <c r="K2116" i="27" s="1"/>
  <c r="I2125" i="27"/>
  <c r="K2125" i="27" s="1"/>
  <c r="K2129" i="27" s="1"/>
  <c r="I2135" i="27"/>
  <c r="K2135" i="27" s="1"/>
  <c r="K2139" i="27" s="1"/>
  <c r="I2144" i="27"/>
  <c r="K2144" i="27" s="1"/>
  <c r="K2148" i="27" s="1"/>
  <c r="I2167" i="27"/>
  <c r="K2167" i="27" s="1"/>
  <c r="I2168" i="27"/>
  <c r="K2168" i="27" s="1"/>
  <c r="I2169" i="27"/>
  <c r="K2169" i="27" s="1"/>
  <c r="I2170" i="27"/>
  <c r="K2170" i="27" s="1"/>
  <c r="K2171" i="27"/>
  <c r="K2218" i="27"/>
  <c r="I2219" i="27"/>
  <c r="K2219" i="27" s="1"/>
  <c r="I2220" i="27"/>
  <c r="K2220" i="27" s="1"/>
  <c r="I2221" i="27"/>
  <c r="K2221" i="27" s="1"/>
  <c r="I2222" i="27"/>
  <c r="K2222" i="27" s="1"/>
  <c r="K2232" i="27"/>
  <c r="K2233" i="27"/>
  <c r="K2234" i="27"/>
  <c r="K2235" i="27"/>
  <c r="I2236" i="27"/>
  <c r="K2236" i="27" s="1"/>
  <c r="I2237" i="27"/>
  <c r="K2237" i="27" s="1"/>
  <c r="K2263" i="27"/>
  <c r="K2265" i="27"/>
  <c r="K2266" i="27"/>
  <c r="K2267" i="27"/>
  <c r="K2268" i="27"/>
  <c r="I2308" i="27"/>
  <c r="K2308" i="27" s="1"/>
  <c r="K2309" i="27"/>
  <c r="K2310" i="27"/>
  <c r="K2321" i="27"/>
  <c r="K2322" i="27"/>
  <c r="K2323" i="27"/>
  <c r="K2324" i="27"/>
  <c r="K2325" i="27"/>
  <c r="K2326" i="27"/>
  <c r="I2328" i="27"/>
  <c r="K2328" i="27" s="1"/>
  <c r="K2363" i="27"/>
  <c r="I2368" i="27"/>
  <c r="K2368" i="27" s="1"/>
  <c r="I2369" i="27"/>
  <c r="K2370" i="27"/>
  <c r="K2375" i="27"/>
  <c r="I2424" i="27"/>
  <c r="K2424" i="27" s="1"/>
  <c r="K2426" i="27"/>
  <c r="I2427" i="27"/>
  <c r="I2441" i="27" s="1"/>
  <c r="K2441" i="27" s="1"/>
  <c r="K2430" i="27"/>
  <c r="K2431" i="27"/>
  <c r="I2467" i="27"/>
  <c r="K2467" i="27" s="1"/>
  <c r="K2469" i="27"/>
  <c r="K2470" i="27"/>
  <c r="K2490" i="27"/>
  <c r="K2493" i="27" s="1"/>
  <c r="K2497" i="27"/>
  <c r="K2498" i="27"/>
  <c r="K2505" i="27"/>
  <c r="K2506" i="27"/>
  <c r="K2507" i="27"/>
  <c r="I2527" i="27"/>
  <c r="K2527" i="27" s="1"/>
  <c r="K2557" i="27"/>
  <c r="I2559" i="27"/>
  <c r="I2560" i="27"/>
  <c r="I2561" i="27"/>
  <c r="I2592" i="27" s="1"/>
  <c r="K2592" i="27" s="1"/>
  <c r="K2604" i="27"/>
  <c r="K2626" i="27"/>
  <c r="K2633" i="27"/>
  <c r="K2634" i="27"/>
  <c r="K2635" i="27"/>
  <c r="K2636" i="27"/>
  <c r="K2637" i="27"/>
  <c r="K2638" i="27"/>
  <c r="K2639" i="27"/>
  <c r="K2640" i="27"/>
  <c r="I2665" i="27"/>
  <c r="K2665" i="27" s="1"/>
  <c r="I2667" i="27"/>
  <c r="K2667" i="27" s="1"/>
  <c r="I2668" i="27"/>
  <c r="K2668" i="27" s="1"/>
  <c r="I2669" i="27"/>
  <c r="K2669" i="27" s="1"/>
  <c r="I2670" i="27"/>
  <c r="K2670" i="27" s="1"/>
  <c r="K2680" i="27"/>
  <c r="K2700" i="27"/>
  <c r="K2701" i="27"/>
  <c r="K2707" i="27"/>
  <c r="K2708" i="27"/>
  <c r="K2715" i="27"/>
  <c r="K2716" i="27"/>
  <c r="K2723" i="27"/>
  <c r="K2724" i="27"/>
  <c r="K2725" i="27"/>
  <c r="K2732" i="27"/>
  <c r="K2733" i="27"/>
  <c r="K2734" i="27"/>
  <c r="K2735" i="27"/>
  <c r="K2743" i="27"/>
  <c r="K2744" i="27"/>
  <c r="K2752" i="27"/>
  <c r="K2753" i="27"/>
  <c r="K2754" i="27"/>
  <c r="K2755" i="27"/>
  <c r="K2756" i="27"/>
  <c r="K2757" i="27"/>
  <c r="K2783" i="27"/>
  <c r="K2784" i="27"/>
  <c r="K2785" i="27"/>
  <c r="K2786" i="27"/>
  <c r="K2787" i="27"/>
  <c r="K2788" i="27"/>
  <c r="I2790" i="27"/>
  <c r="K2790" i="27" s="1"/>
  <c r="K2798" i="27"/>
  <c r="K2799" i="27"/>
  <c r="K2807" i="27"/>
  <c r="K2808" i="27"/>
  <c r="K2815" i="27"/>
  <c r="K2816" i="27"/>
  <c r="K2817" i="27"/>
  <c r="K2818" i="27"/>
  <c r="K2825" i="27"/>
  <c r="K2826" i="27"/>
  <c r="K2827" i="27"/>
  <c r="I2843" i="27"/>
  <c r="I2844" i="27"/>
  <c r="I3796" i="27" s="1"/>
  <c r="I2845" i="27"/>
  <c r="I2997" i="27" s="1"/>
  <c r="K2997" i="27" s="1"/>
  <c r="K2847" i="27"/>
  <c r="R2848" i="27"/>
  <c r="I2849" i="27"/>
  <c r="I2956" i="27" s="1"/>
  <c r="I2850" i="27"/>
  <c r="I3001" i="27" s="1"/>
  <c r="K3001" i="27" s="1"/>
  <c r="I2851" i="27"/>
  <c r="I3002" i="27" s="1"/>
  <c r="K3002" i="27" s="1"/>
  <c r="K3019" i="27" s="1"/>
  <c r="I2852" i="27"/>
  <c r="I2854" i="27"/>
  <c r="R2855" i="27"/>
  <c r="R2856" i="27"/>
  <c r="L2860" i="27"/>
  <c r="R2860" i="27"/>
  <c r="T2863" i="27"/>
  <c r="I2866" i="27"/>
  <c r="I3824" i="27" s="1"/>
  <c r="K3824" i="27" s="1"/>
  <c r="I2867" i="27"/>
  <c r="I2868" i="27"/>
  <c r="I3248" i="27" s="1"/>
  <c r="I2869" i="27"/>
  <c r="I3506" i="27" s="1"/>
  <c r="I3625" i="27" s="1"/>
  <c r="I2870" i="27"/>
  <c r="I2871" i="27"/>
  <c r="K2871" i="27" s="1"/>
  <c r="P2881" i="27"/>
  <c r="R2881" i="27" s="1"/>
  <c r="L2884" i="27"/>
  <c r="P2888" i="27"/>
  <c r="R2888" i="27" s="1"/>
  <c r="R2889" i="27"/>
  <c r="K2895" i="27"/>
  <c r="K2896" i="27"/>
  <c r="S2896" i="27"/>
  <c r="L2899" i="27"/>
  <c r="H2905" i="27"/>
  <c r="H2909" i="27"/>
  <c r="H2937" i="27" s="1"/>
  <c r="H2910" i="27"/>
  <c r="H2936" i="27" s="1"/>
  <c r="H2911" i="27"/>
  <c r="K2912" i="27"/>
  <c r="L2921" i="27"/>
  <c r="I2923" i="27"/>
  <c r="K2925" i="27" s="1"/>
  <c r="I2935" i="27"/>
  <c r="I3053" i="27" s="1"/>
  <c r="M2935" i="27"/>
  <c r="L2945" i="27"/>
  <c r="I2957" i="27"/>
  <c r="L2957" i="27"/>
  <c r="M2957" i="27" s="1"/>
  <c r="N2957" i="27" s="1"/>
  <c r="L2965" i="27"/>
  <c r="I2984" i="27"/>
  <c r="K2984" i="27" s="1"/>
  <c r="I2999" i="27"/>
  <c r="K2999" i="27" s="1"/>
  <c r="I3035" i="27"/>
  <c r="K3035" i="27" s="1"/>
  <c r="L3044" i="27"/>
  <c r="L3063" i="27"/>
  <c r="R3071" i="27"/>
  <c r="K3078" i="27"/>
  <c r="L3080" i="27"/>
  <c r="K3088" i="27"/>
  <c r="K3090" i="27"/>
  <c r="L3092" i="27"/>
  <c r="K3098" i="27"/>
  <c r="I3101" i="27"/>
  <c r="L3105" i="27"/>
  <c r="I3112" i="27"/>
  <c r="K3112" i="27" s="1"/>
  <c r="P3112" i="27"/>
  <c r="R3112" i="27" s="1"/>
  <c r="K3113" i="27"/>
  <c r="P3113" i="27"/>
  <c r="R3113" i="27" s="1"/>
  <c r="S3118" i="27"/>
  <c r="L3119" i="27"/>
  <c r="R3126" i="27"/>
  <c r="K3132" i="27"/>
  <c r="K3150" i="27"/>
  <c r="K3151" i="27"/>
  <c r="K3169" i="27"/>
  <c r="I3170" i="27"/>
  <c r="I3181" i="27" s="1"/>
  <c r="K3181" i="27" s="1"/>
  <c r="K3180" i="27"/>
  <c r="K3182" i="27"/>
  <c r="K3191" i="27"/>
  <c r="K3192" i="27"/>
  <c r="K3206" i="27"/>
  <c r="I3207" i="27"/>
  <c r="K3207" i="27" s="1"/>
  <c r="K3217" i="27"/>
  <c r="K3219" i="27"/>
  <c r="J3222" i="27"/>
  <c r="M3222" i="27"/>
  <c r="N3222" i="27"/>
  <c r="I3222" i="27" s="1"/>
  <c r="I3335" i="27" s="1"/>
  <c r="K3230" i="27"/>
  <c r="I3231" i="27"/>
  <c r="K3231" i="27" s="1"/>
  <c r="K3232" i="27"/>
  <c r="K3240" i="27"/>
  <c r="K3241" i="27"/>
  <c r="K3257" i="27"/>
  <c r="I3258" i="27"/>
  <c r="K3258" i="27" s="1"/>
  <c r="I3259" i="27"/>
  <c r="K3289" i="27"/>
  <c r="K3290" i="27"/>
  <c r="I3306" i="27"/>
  <c r="K3306" i="27" s="1"/>
  <c r="I3307" i="27"/>
  <c r="K3307" i="27" s="1"/>
  <c r="I3308" i="27"/>
  <c r="K3308" i="27" s="1"/>
  <c r="I3309" i="27"/>
  <c r="K3309" i="27" s="1"/>
  <c r="I3310" i="27"/>
  <c r="I3311" i="27"/>
  <c r="I3312" i="27"/>
  <c r="K3312" i="27" s="1"/>
  <c r="I3313" i="27"/>
  <c r="K3313" i="27" s="1"/>
  <c r="I3314" i="27"/>
  <c r="K3314" i="27" s="1"/>
  <c r="I3315" i="27"/>
  <c r="K3315" i="27" s="1"/>
  <c r="I3316" i="27"/>
  <c r="K3316" i="27" s="1"/>
  <c r="K3331" i="27"/>
  <c r="K3345" i="27"/>
  <c r="H3354" i="27"/>
  <c r="I3354" i="27"/>
  <c r="J3368" i="27"/>
  <c r="K3376" i="27"/>
  <c r="H3384" i="27"/>
  <c r="I3384" i="27"/>
  <c r="K3384" i="27" s="1"/>
  <c r="I3389" i="27"/>
  <c r="K3389" i="27" s="1"/>
  <c r="I3464" i="27" s="1"/>
  <c r="K3464" i="27" s="1"/>
  <c r="L3399" i="27"/>
  <c r="M3399" i="27" s="1"/>
  <c r="N3399" i="27" s="1"/>
  <c r="O3399" i="27" s="1"/>
  <c r="L3418" i="27"/>
  <c r="K3436" i="27"/>
  <c r="K3438" i="27"/>
  <c r="I3454" i="27"/>
  <c r="K3454" i="27" s="1"/>
  <c r="H3455" i="27"/>
  <c r="I3455" i="27"/>
  <c r="I3465" i="27" s="1"/>
  <c r="K3465" i="27" s="1"/>
  <c r="H3464" i="27"/>
  <c r="H3465" i="27"/>
  <c r="I3478" i="27"/>
  <c r="K3478" i="27" s="1"/>
  <c r="K3480" i="27"/>
  <c r="K3495" i="27"/>
  <c r="P3495" i="27"/>
  <c r="R3495" i="27" s="1"/>
  <c r="I3496" i="27"/>
  <c r="P3496" i="27" s="1"/>
  <c r="R3496" i="27" s="1"/>
  <c r="I3497" i="27"/>
  <c r="R3501" i="27"/>
  <c r="K3513" i="27"/>
  <c r="K3514" i="27"/>
  <c r="K3521" i="27"/>
  <c r="K3524" i="27" s="1"/>
  <c r="L3524" i="27" s="1"/>
  <c r="K3523" i="27"/>
  <c r="I3533" i="27"/>
  <c r="K3533" i="27" s="1"/>
  <c r="H3545" i="27"/>
  <c r="I3545" i="27"/>
  <c r="K3545" i="27" s="1"/>
  <c r="K3547" i="27" s="1"/>
  <c r="H3553" i="27"/>
  <c r="I3553" i="27"/>
  <c r="K3553" i="27" s="1"/>
  <c r="K3556" i="27" s="1"/>
  <c r="K3561" i="27"/>
  <c r="O3561" i="27"/>
  <c r="K3562" i="27"/>
  <c r="I3563" i="27"/>
  <c r="K3563" i="27" s="1"/>
  <c r="H3578" i="27"/>
  <c r="I3578" i="27"/>
  <c r="K3578" i="27" s="1"/>
  <c r="H3579" i="27"/>
  <c r="I3579" i="27"/>
  <c r="K3579" i="27" s="1"/>
  <c r="H3580" i="27"/>
  <c r="I3580" i="27"/>
  <c r="K3580" i="27" s="1"/>
  <c r="I3605" i="27"/>
  <c r="J3605" i="27"/>
  <c r="K3605" i="27"/>
  <c r="L3605" i="27"/>
  <c r="H3612" i="27"/>
  <c r="I3612" i="27"/>
  <c r="K3612" i="27" s="1"/>
  <c r="K3613" i="27"/>
  <c r="R3613" i="27"/>
  <c r="P3614" i="27"/>
  <c r="R3614" i="27" s="1"/>
  <c r="K3618" i="27"/>
  <c r="R3623" i="27"/>
  <c r="R3624" i="27"/>
  <c r="R3625" i="27"/>
  <c r="R3626" i="27"/>
  <c r="H3634" i="27"/>
  <c r="I3634" i="27"/>
  <c r="K3634" i="27" s="1"/>
  <c r="H3635" i="27"/>
  <c r="R3635" i="27"/>
  <c r="K3637" i="27"/>
  <c r="H3643" i="27"/>
  <c r="I3644" i="27"/>
  <c r="K3644" i="27" s="1"/>
  <c r="K3649" i="27"/>
  <c r="I3667" i="27"/>
  <c r="K3667" i="27" s="1"/>
  <c r="H3670" i="27"/>
  <c r="I3670" i="27"/>
  <c r="K3670" i="27" s="1"/>
  <c r="K3671" i="27"/>
  <c r="K3672" i="27"/>
  <c r="D3674" i="27"/>
  <c r="K3675" i="27"/>
  <c r="L3689" i="27"/>
  <c r="H3694" i="27"/>
  <c r="I3694" i="27"/>
  <c r="K3694" i="27" s="1"/>
  <c r="H3699" i="27"/>
  <c r="H3708" i="27"/>
  <c r="I3710" i="27"/>
  <c r="K3710" i="27" s="1"/>
  <c r="H3719" i="27"/>
  <c r="K3720" i="27"/>
  <c r="I3721" i="27"/>
  <c r="K3721" i="27" s="1"/>
  <c r="I3722" i="27"/>
  <c r="K3722" i="27" s="1"/>
  <c r="L3724" i="27"/>
  <c r="K3739" i="27"/>
  <c r="K3740" i="27"/>
  <c r="K3757" i="27"/>
  <c r="I3758" i="27"/>
  <c r="K3758" i="27" s="1"/>
  <c r="K3759" i="27"/>
  <c r="H3765" i="27"/>
  <c r="I3765" i="27"/>
  <c r="K3765" i="27" s="1"/>
  <c r="I3766" i="27"/>
  <c r="K3766" i="27" s="1"/>
  <c r="H3770" i="27"/>
  <c r="I3770" i="27"/>
  <c r="K3770" i="27" s="1"/>
  <c r="R3770" i="27"/>
  <c r="I3771" i="27"/>
  <c r="K3771" i="27" s="1"/>
  <c r="R3771" i="27"/>
  <c r="H3777" i="27"/>
  <c r="I3777" i="27"/>
  <c r="K3777" i="27" s="1"/>
  <c r="R3777" i="27"/>
  <c r="H3778" i="27"/>
  <c r="O3778" i="27"/>
  <c r="P3778" i="27"/>
  <c r="R3778" i="27" s="1"/>
  <c r="K3798" i="27"/>
  <c r="K3800" i="27"/>
  <c r="K3804" i="27"/>
  <c r="K3805" i="27"/>
  <c r="I3806" i="27"/>
  <c r="K3807" i="27"/>
  <c r="K3873" i="27" s="1"/>
  <c r="K3808" i="27"/>
  <c r="K3811" i="27"/>
  <c r="K3813" i="27"/>
  <c r="K3838" i="27"/>
  <c r="K3852" i="27"/>
  <c r="N3852" i="27"/>
  <c r="K3853" i="27"/>
  <c r="K3854" i="27"/>
  <c r="N3856" i="27"/>
  <c r="K3875" i="27"/>
  <c r="K3876" i="27"/>
  <c r="K3890" i="27"/>
  <c r="I3893" i="27"/>
  <c r="M3893" i="27"/>
  <c r="K3894" i="27"/>
  <c r="H3911" i="27"/>
  <c r="L3918" i="27"/>
  <c r="I3935" i="27"/>
  <c r="K3935" i="27" s="1"/>
  <c r="I3949" i="27"/>
  <c r="K3949" i="27" s="1"/>
  <c r="A9" i="32"/>
  <c r="A10" i="32" s="1"/>
  <c r="F10" i="32" s="1"/>
  <c r="F11" i="32"/>
  <c r="F15" i="32"/>
  <c r="A24" i="32"/>
  <c r="A25" i="32" s="1"/>
  <c r="I25" i="32"/>
  <c r="I26" i="32"/>
  <c r="I27" i="32"/>
  <c r="M31" i="32"/>
  <c r="G32" i="32"/>
  <c r="E33" i="32"/>
  <c r="D197" i="32" s="1"/>
  <c r="A45" i="32"/>
  <c r="D50" i="32"/>
  <c r="D113" i="32" s="1"/>
  <c r="A73" i="32"/>
  <c r="A74" i="32" s="1"/>
  <c r="F74" i="32" s="1"/>
  <c r="F75" i="32"/>
  <c r="F79" i="32"/>
  <c r="G86" i="32"/>
  <c r="A88" i="32" s="1"/>
  <c r="A89" i="32" s="1"/>
  <c r="A90" i="32" s="1"/>
  <c r="E88" i="32"/>
  <c r="E89" i="32"/>
  <c r="E90" i="32"/>
  <c r="E97" i="32" s="1"/>
  <c r="E96" i="32"/>
  <c r="G96" i="32" s="1"/>
  <c r="G131" i="32"/>
  <c r="A133" i="32" s="1"/>
  <c r="A134" i="32" s="1"/>
  <c r="F134" i="32" s="1"/>
  <c r="F135" i="32"/>
  <c r="F139" i="32"/>
  <c r="G146" i="32"/>
  <c r="A148" i="32" s="1"/>
  <c r="E148" i="32"/>
  <c r="C62" i="55"/>
  <c r="C292" i="55"/>
  <c r="C307" i="55"/>
  <c r="C322" i="55"/>
  <c r="C381" i="55"/>
  <c r="C382" i="55"/>
  <c r="C383" i="55"/>
  <c r="C384" i="55"/>
  <c r="C426" i="55"/>
  <c r="C427" i="55"/>
  <c r="C429" i="55"/>
  <c r="C495" i="55"/>
  <c r="C632" i="55"/>
  <c r="C639" i="55"/>
  <c r="C676" i="55"/>
  <c r="C678" i="55"/>
  <c r="C704" i="55"/>
  <c r="C705" i="55"/>
  <c r="C706" i="55"/>
  <c r="C712" i="55"/>
  <c r="B723" i="55"/>
  <c r="B728" i="55"/>
  <c r="B729" i="55"/>
  <c r="A749" i="55"/>
  <c r="B836" i="55"/>
  <c r="D939" i="55"/>
  <c r="C1433" i="55"/>
  <c r="B1434" i="55"/>
  <c r="C1479" i="55"/>
  <c r="C1480" i="55"/>
  <c r="A24" i="50"/>
  <c r="I25" i="50"/>
  <c r="I26" i="50"/>
  <c r="I27" i="50"/>
  <c r="M31" i="50"/>
  <c r="G32" i="50"/>
  <c r="G33" i="50"/>
  <c r="D49" i="50"/>
  <c r="D112" i="50" s="1"/>
  <c r="D50" i="50"/>
  <c r="D113" i="50" s="1"/>
  <c r="A73" i="50"/>
  <c r="A74" i="50" s="1"/>
  <c r="F74" i="50" s="1"/>
  <c r="F75" i="50"/>
  <c r="F79" i="50"/>
  <c r="G86" i="50"/>
  <c r="A88" i="50" s="1"/>
  <c r="A89" i="50" s="1"/>
  <c r="A90" i="50" s="1"/>
  <c r="F90" i="50" s="1"/>
  <c r="G96" i="50"/>
  <c r="E97" i="50"/>
  <c r="G97" i="50" s="1"/>
  <c r="D115" i="50"/>
  <c r="D116" i="50"/>
  <c r="G131" i="50"/>
  <c r="A133" i="50" s="1"/>
  <c r="A134" i="50" s="1"/>
  <c r="F134" i="50" s="1"/>
  <c r="F135" i="50"/>
  <c r="F139" i="50"/>
  <c r="G146" i="50"/>
  <c r="A148" i="50" s="1"/>
  <c r="A149" i="50" s="1"/>
  <c r="A150" i="50" s="1"/>
  <c r="E150" i="50"/>
  <c r="E156" i="50"/>
  <c r="G156" i="50" s="1"/>
  <c r="I3719" i="27"/>
  <c r="K3719" i="27" s="1"/>
  <c r="C1478" i="55"/>
  <c r="C1476" i="55"/>
  <c r="A149" i="32"/>
  <c r="A150" i="32" s="1"/>
  <c r="E156" i="32"/>
  <c r="G156" i="32" s="1"/>
  <c r="I3534" i="27"/>
  <c r="K3534" i="27" s="1"/>
  <c r="K3170" i="27"/>
  <c r="K132" i="27"/>
  <c r="K133" i="27" s="1"/>
  <c r="I3665" i="27"/>
  <c r="K3665" i="27" s="1"/>
  <c r="P3127" i="27"/>
  <c r="R3127" i="27" s="1"/>
  <c r="I1831" i="27"/>
  <c r="K1831" i="27" s="1"/>
  <c r="P24" i="27"/>
  <c r="R24" i="27" s="1"/>
  <c r="I11" i="27"/>
  <c r="K11" i="27" s="1"/>
  <c r="I74" i="27"/>
  <c r="K74" i="27" s="1"/>
  <c r="I55" i="27"/>
  <c r="K55" i="27" s="1"/>
  <c r="I53" i="27"/>
  <c r="K53" i="27" s="1"/>
  <c r="I37" i="27"/>
  <c r="K37" i="27" s="1"/>
  <c r="I29" i="27"/>
  <c r="K29" i="27" s="1"/>
  <c r="I20" i="27"/>
  <c r="K20" i="27" s="1"/>
  <c r="I18" i="27"/>
  <c r="K18" i="27" s="1"/>
  <c r="I155" i="27"/>
  <c r="K155" i="27" s="1"/>
  <c r="I40" i="25"/>
  <c r="D305" i="25"/>
  <c r="F305" i="25" s="1"/>
  <c r="C1449" i="55"/>
  <c r="C1474" i="55"/>
  <c r="D554" i="25"/>
  <c r="F554" i="25" s="1"/>
  <c r="C1473" i="55"/>
  <c r="C1477" i="55"/>
  <c r="C1475" i="55"/>
  <c r="C1485" i="55"/>
  <c r="C1481" i="55"/>
  <c r="C1486" i="55"/>
  <c r="C1487" i="55"/>
  <c r="C1482" i="55"/>
  <c r="C841" i="55"/>
  <c r="C843" i="55"/>
  <c r="C926" i="55"/>
  <c r="I42" i="25"/>
  <c r="C772" i="55"/>
  <c r="C776" i="55"/>
  <c r="C778" i="55"/>
  <c r="C777" i="55"/>
  <c r="K2957" i="27"/>
  <c r="P2851" i="27"/>
  <c r="P2884" i="27" s="1"/>
  <c r="R2884" i="27" s="1"/>
  <c r="I2846" i="27"/>
  <c r="P2850" i="27" s="1"/>
  <c r="R2850" i="27" s="1"/>
  <c r="I3801" i="27"/>
  <c r="K2849" i="27"/>
  <c r="I3922" i="27"/>
  <c r="K3922" i="27" s="1"/>
  <c r="I2906" i="27"/>
  <c r="K3455" i="27"/>
  <c r="C1484" i="55"/>
  <c r="C1438" i="55"/>
  <c r="C1436" i="55"/>
  <c r="C1445" i="55"/>
  <c r="C1444" i="55"/>
  <c r="C1443" i="55"/>
  <c r="C552" i="55"/>
  <c r="I3139" i="27"/>
  <c r="K3139" i="27" s="1"/>
  <c r="I3826" i="27"/>
  <c r="K3826" i="27" s="1"/>
  <c r="I2911" i="27"/>
  <c r="I3034" i="27" s="1"/>
  <c r="K3034" i="27" s="1"/>
  <c r="K2850" i="27"/>
  <c r="K2893" i="27" s="1"/>
  <c r="K3851" i="27" s="1"/>
  <c r="I2974" i="27"/>
  <c r="K2974" i="27" s="1"/>
  <c r="I3910" i="27"/>
  <c r="I3352" i="27"/>
  <c r="K3352" i="27" s="1"/>
  <c r="I2910" i="27"/>
  <c r="I2936" i="27" s="1"/>
  <c r="I3505" i="27"/>
  <c r="I3624" i="27" s="1"/>
  <c r="I2760" i="27"/>
  <c r="K2760" i="27" s="1"/>
  <c r="I3249" i="27"/>
  <c r="K3249" i="27" s="1"/>
  <c r="I3923" i="27"/>
  <c r="K3923" i="27" s="1"/>
  <c r="I3353" i="27"/>
  <c r="I3407" i="27" s="1"/>
  <c r="I3140" i="27"/>
  <c r="K3140" i="27" s="1"/>
  <c r="P2873" i="27"/>
  <c r="R2873" i="27" s="1"/>
  <c r="I3827" i="27"/>
  <c r="K3827" i="27" s="1"/>
  <c r="K2869" i="27"/>
  <c r="K3506" i="27"/>
  <c r="I3685" i="27"/>
  <c r="K3685" i="27" s="1"/>
  <c r="I3803" i="27"/>
  <c r="K2851" i="27"/>
  <c r="K2880" i="27" s="1"/>
  <c r="K2891" i="27" s="1"/>
  <c r="I3920" i="27"/>
  <c r="K3920" i="27" s="1"/>
  <c r="K2866" i="27"/>
  <c r="I3933" i="27"/>
  <c r="K3933" i="27" s="1"/>
  <c r="I2872" i="27"/>
  <c r="K2872" i="27" s="1"/>
  <c r="I3351" i="27"/>
  <c r="K3351" i="27" s="1"/>
  <c r="I2905" i="27"/>
  <c r="K2905" i="27" s="1"/>
  <c r="I2856" i="27"/>
  <c r="P2846" i="27" s="1"/>
  <c r="R2846" i="27" s="1"/>
  <c r="K2894" i="27"/>
  <c r="I2758" i="27"/>
  <c r="K2758" i="27" s="1"/>
  <c r="I2855" i="27"/>
  <c r="K2911" i="27"/>
  <c r="I3003" i="27"/>
  <c r="K3003" i="27" s="1"/>
  <c r="I3778" i="27"/>
  <c r="K3778" i="27" s="1"/>
  <c r="I3643" i="27"/>
  <c r="K3643" i="27" s="1"/>
  <c r="I3590" i="27"/>
  <c r="K3590" i="27" s="1"/>
  <c r="I3802" i="27"/>
  <c r="P3506" i="27"/>
  <c r="R3506" i="27" s="1"/>
  <c r="I3504" i="27"/>
  <c r="K2867" i="27"/>
  <c r="I3797" i="27"/>
  <c r="K2845" i="27"/>
  <c r="P2849" i="27"/>
  <c r="P2882" i="27" s="1"/>
  <c r="R2882" i="27" s="1"/>
  <c r="I2907" i="27"/>
  <c r="I3030" i="27" s="1"/>
  <c r="K3030" i="27" s="1"/>
  <c r="I2917" i="27"/>
  <c r="K2917" i="27" s="1"/>
  <c r="K2843" i="27"/>
  <c r="I3572" i="27"/>
  <c r="K3572" i="27" s="1"/>
  <c r="R2851" i="27"/>
  <c r="I3666" i="27"/>
  <c r="K3666" i="27" s="1"/>
  <c r="K2881" i="27"/>
  <c r="K2907" i="27"/>
  <c r="I38" i="25"/>
  <c r="D53" i="32"/>
  <c r="D116" i="32" s="1"/>
  <c r="D585" i="25"/>
  <c r="F585" i="25" s="1"/>
  <c r="F190" i="32"/>
  <c r="A174" i="32"/>
  <c r="F174" i="32" s="1"/>
  <c r="F188" i="32"/>
  <c r="E149" i="32"/>
  <c r="F149" i="32" s="1"/>
  <c r="F64" i="64"/>
  <c r="F528" i="64"/>
  <c r="D590" i="64"/>
  <c r="F590" i="64" s="1"/>
  <c r="F538" i="64"/>
  <c r="F602" i="64"/>
  <c r="F515" i="64"/>
  <c r="D579" i="64"/>
  <c r="F579" i="64" s="1"/>
  <c r="F506" i="64"/>
  <c r="D570" i="64"/>
  <c r="D645" i="64" s="1"/>
  <c r="D598" i="64"/>
  <c r="F598" i="64" s="1"/>
  <c r="F529" i="64"/>
  <c r="D591" i="64"/>
  <c r="F542" i="64"/>
  <c r="F605" i="64"/>
  <c r="D599" i="64"/>
  <c r="F599" i="64" s="1"/>
  <c r="F543" i="64"/>
  <c r="D531" i="64"/>
  <c r="F531" i="64" s="1"/>
  <c r="D107" i="64"/>
  <c r="F107" i="64" s="1"/>
  <c r="F225" i="64"/>
  <c r="D374" i="64"/>
  <c r="D375" i="64" s="1"/>
  <c r="D376" i="64" s="1"/>
  <c r="D377" i="64" s="1"/>
  <c r="P21" i="64"/>
  <c r="P22" i="64" s="1"/>
  <c r="D172" i="64"/>
  <c r="D173" i="64" s="1"/>
  <c r="D174" i="64" s="1"/>
  <c r="D175" i="64" s="1"/>
  <c r="P38" i="64"/>
  <c r="P40" i="64" s="1"/>
  <c r="F65" i="64"/>
  <c r="D221" i="64"/>
  <c r="D327" i="64"/>
  <c r="F327" i="64" s="1"/>
  <c r="F134" i="64"/>
  <c r="D437" i="64"/>
  <c r="D438" i="64" s="1"/>
  <c r="D439" i="64" s="1"/>
  <c r="D440" i="64" s="1"/>
  <c r="P10" i="64"/>
  <c r="P11" i="64" s="1"/>
  <c r="W10" i="64"/>
  <c r="D143" i="64"/>
  <c r="F537" i="64"/>
  <c r="F536" i="64"/>
  <c r="F70" i="64"/>
  <c r="F593" i="64"/>
  <c r="D223" i="64"/>
  <c r="F223" i="64" s="1"/>
  <c r="D123" i="64"/>
  <c r="D203" i="64" s="1"/>
  <c r="E209" i="25"/>
  <c r="G209" i="25" s="1"/>
  <c r="D591" i="25"/>
  <c r="F591" i="25" s="1"/>
  <c r="D547" i="25"/>
  <c r="D24" i="25"/>
  <c r="D23" i="25"/>
  <c r="D36" i="25" s="1"/>
  <c r="D219" i="64"/>
  <c r="D279" i="64" s="1"/>
  <c r="Z17" i="27"/>
  <c r="AC17" i="27" s="1"/>
  <c r="F60" i="64"/>
  <c r="X29" i="27"/>
  <c r="D48" i="25"/>
  <c r="F48" i="25" s="1"/>
  <c r="A255" i="32"/>
  <c r="F255" i="32" s="1"/>
  <c r="A270" i="32"/>
  <c r="A271" i="32" s="1"/>
  <c r="C1131" i="55"/>
  <c r="D49" i="25"/>
  <c r="D72" i="25" s="1"/>
  <c r="E199" i="25"/>
  <c r="G199" i="25" s="1"/>
  <c r="E207" i="25"/>
  <c r="G207" i="25" s="1"/>
  <c r="D50" i="25"/>
  <c r="F50" i="25" s="1"/>
  <c r="F25" i="25"/>
  <c r="F570" i="64"/>
  <c r="F478" i="64"/>
  <c r="D222" i="64"/>
  <c r="F222" i="64" s="1"/>
  <c r="D144" i="64"/>
  <c r="E833" i="64" s="1"/>
  <c r="AP35" i="64"/>
  <c r="AR35" i="64" s="1"/>
  <c r="D150" i="64"/>
  <c r="K2906" i="27"/>
  <c r="AP38" i="64"/>
  <c r="AR38" i="64" s="1"/>
  <c r="AP42" i="64"/>
  <c r="AR42" i="64" s="1"/>
  <c r="F66" i="64"/>
  <c r="AC19" i="27"/>
  <c r="C81" i="27" s="1"/>
  <c r="P50" i="27" s="1"/>
  <c r="R50" i="27" s="1"/>
  <c r="R57" i="27" s="1"/>
  <c r="R60" i="27" s="1"/>
  <c r="AC9" i="27"/>
  <c r="C68" i="27" s="1"/>
  <c r="I294" i="27" s="1"/>
  <c r="K294" i="27" s="1"/>
  <c r="K303" i="27" s="1"/>
  <c r="K305" i="27" s="1"/>
  <c r="Z29" i="27"/>
  <c r="Z34" i="27" s="1"/>
  <c r="AC34" i="27" s="1"/>
  <c r="C77" i="27" s="1"/>
  <c r="I443" i="27" s="1"/>
  <c r="K443" i="27" s="1"/>
  <c r="K451" i="27" s="1"/>
  <c r="K453" i="27" s="1"/>
  <c r="I458" i="27" s="1"/>
  <c r="K458" i="27" s="1"/>
  <c r="K462" i="27" s="1"/>
  <c r="K464" i="27" s="1"/>
  <c r="K466" i="27" s="1"/>
  <c r="K467" i="27" s="1"/>
  <c r="K468" i="27" s="1"/>
  <c r="K469" i="27" s="1"/>
  <c r="K470" i="27" s="1"/>
  <c r="C78" i="27"/>
  <c r="I10" i="27" s="1"/>
  <c r="K10" i="27" s="1"/>
  <c r="I497" i="27"/>
  <c r="K497" i="27" s="1"/>
  <c r="C451" i="55"/>
  <c r="K2856" i="27"/>
  <c r="W37" i="64"/>
  <c r="AU197" i="1"/>
  <c r="AV197" i="1" s="1"/>
  <c r="I974" i="27"/>
  <c r="K974" i="27" s="1"/>
  <c r="I1011" i="27"/>
  <c r="E210" i="25"/>
  <c r="G210" i="25" s="1"/>
  <c r="AP23" i="64"/>
  <c r="AR23" i="64" s="1"/>
  <c r="A10" i="50"/>
  <c r="F10" i="50" s="1"/>
  <c r="W45" i="1"/>
  <c r="W42" i="1"/>
  <c r="AC1198" i="1"/>
  <c r="S1183" i="1"/>
  <c r="S1159" i="1"/>
  <c r="J629" i="1"/>
  <c r="J613" i="1"/>
  <c r="V591" i="1" s="1"/>
  <c r="J560" i="1"/>
  <c r="W562" i="1" s="1"/>
  <c r="AC562" i="1" s="1"/>
  <c r="AJ562" i="1" s="1"/>
  <c r="J536" i="1"/>
  <c r="W538" i="1" s="1"/>
  <c r="AC538" i="1" s="1"/>
  <c r="AJ538" i="1" s="1"/>
  <c r="J660" i="1"/>
  <c r="W487" i="1" s="1"/>
  <c r="AC487" i="1" s="1"/>
  <c r="J591" i="1"/>
  <c r="I1578" i="1"/>
  <c r="K1578" i="1" s="1"/>
  <c r="I1911" i="1"/>
  <c r="K1911" i="1" s="1"/>
  <c r="P504" i="1"/>
  <c r="R504" i="1" s="1"/>
  <c r="M96" i="1"/>
  <c r="M102" i="1" s="1"/>
  <c r="A208" i="1"/>
  <c r="A209" i="1" s="1"/>
  <c r="P3295" i="1"/>
  <c r="P3398" i="1" s="1"/>
  <c r="R3398" i="1" s="1"/>
  <c r="P214" i="1"/>
  <c r="R214" i="1" s="1"/>
  <c r="I3173" i="1"/>
  <c r="I3186" i="1" s="1"/>
  <c r="I3369" i="1" s="1"/>
  <c r="I787" i="1"/>
  <c r="K787" i="1" s="1"/>
  <c r="P25" i="1"/>
  <c r="R25" i="1" s="1"/>
  <c r="I2126" i="1"/>
  <c r="K2126" i="1" s="1"/>
  <c r="P623" i="1"/>
  <c r="R623" i="1" s="1"/>
  <c r="I111" i="1"/>
  <c r="K111" i="1" s="1"/>
  <c r="K134" i="1"/>
  <c r="I1020" i="1"/>
  <c r="P1094" i="1" s="1"/>
  <c r="R1094" i="1" s="1"/>
  <c r="I96" i="1"/>
  <c r="K96" i="1" s="1"/>
  <c r="I3749" i="1"/>
  <c r="K3749" i="1" s="1"/>
  <c r="I3254" i="1"/>
  <c r="K3254" i="1" s="1"/>
  <c r="V1335" i="1"/>
  <c r="X1335" i="1" s="1"/>
  <c r="P1376" i="1"/>
  <c r="R1376" i="1" s="1"/>
  <c r="I3796" i="1"/>
  <c r="K3796" i="1" s="1"/>
  <c r="I3724" i="1"/>
  <c r="K3724" i="1" s="1"/>
  <c r="I3707" i="1"/>
  <c r="K3707" i="1" s="1"/>
  <c r="P3516" i="1"/>
  <c r="R3516" i="1" s="1"/>
  <c r="I3770" i="1"/>
  <c r="K3770" i="1" s="1"/>
  <c r="I3750" i="1"/>
  <c r="K3750" i="1" s="1"/>
  <c r="V3672" i="1"/>
  <c r="I3343" i="1"/>
  <c r="AF3107" i="1"/>
  <c r="AQ3107" i="1" s="1"/>
  <c r="P2361" i="1"/>
  <c r="R2361" i="1" s="1"/>
  <c r="P1549" i="1"/>
  <c r="R1549" i="1" s="1"/>
  <c r="P1378" i="1"/>
  <c r="R1378" i="1" s="1"/>
  <c r="V1337" i="1"/>
  <c r="AB1335" i="1" s="1"/>
  <c r="AC1335" i="1" s="1"/>
  <c r="J3045" i="1"/>
  <c r="K3045" i="1" s="1"/>
  <c r="I2107" i="1"/>
  <c r="K2107" i="1" s="1"/>
  <c r="I2078" i="1"/>
  <c r="I2028" i="1"/>
  <c r="K2028" i="1" s="1"/>
  <c r="I3769" i="1"/>
  <c r="K3769" i="1" s="1"/>
  <c r="P3723" i="1"/>
  <c r="R3723" i="1" s="1"/>
  <c r="I3706" i="1"/>
  <c r="K3706" i="1" s="1"/>
  <c r="P2672" i="1"/>
  <c r="I2165" i="1"/>
  <c r="K2165" i="1" s="1"/>
  <c r="I2152" i="1"/>
  <c r="P2159" i="1" s="1"/>
  <c r="R2159" i="1" s="1"/>
  <c r="I2178" i="1"/>
  <c r="K2178" i="1" s="1"/>
  <c r="I2132" i="1"/>
  <c r="K2132" i="1" s="1"/>
  <c r="I3540" i="1"/>
  <c r="I2836" i="1"/>
  <c r="X12" i="1"/>
  <c r="D17" i="1"/>
  <c r="X24" i="1"/>
  <c r="AC31" i="1"/>
  <c r="I3462" i="1" s="1"/>
  <c r="D32" i="1"/>
  <c r="I1105" i="1" s="1"/>
  <c r="K1105" i="1" s="1"/>
  <c r="I230" i="1"/>
  <c r="I361" i="1"/>
  <c r="K361" i="1" s="1"/>
  <c r="P365" i="1"/>
  <c r="R365" i="1" s="1"/>
  <c r="P3515" i="1"/>
  <c r="R3515" i="1" s="1"/>
  <c r="P2360" i="1"/>
  <c r="R2360" i="1" s="1"/>
  <c r="I2299" i="1"/>
  <c r="K2299" i="1" s="1"/>
  <c r="V1336" i="1"/>
  <c r="X1336" i="1" s="1"/>
  <c r="P1377" i="1"/>
  <c r="R1377" i="1" s="1"/>
  <c r="I2740" i="1"/>
  <c r="K2740" i="1" s="1"/>
  <c r="I2370" i="1"/>
  <c r="K2370" i="1" s="1"/>
  <c r="I2133" i="1"/>
  <c r="K2133" i="1" s="1"/>
  <c r="I1811" i="1"/>
  <c r="K1811" i="1" s="1"/>
  <c r="I2687" i="1"/>
  <c r="K2687" i="1" s="1"/>
  <c r="I1945" i="1"/>
  <c r="I3566" i="1" s="1"/>
  <c r="I2056" i="1"/>
  <c r="I1468" i="1"/>
  <c r="K1468" i="1" s="1"/>
  <c r="I1508" i="1"/>
  <c r="K1508" i="1" s="1"/>
  <c r="I1395" i="1"/>
  <c r="I1259" i="1"/>
  <c r="I1436" i="1"/>
  <c r="K1436" i="1" s="1"/>
  <c r="I1225" i="1"/>
  <c r="K1225" i="1" s="1"/>
  <c r="I1382" i="1"/>
  <c r="K1382" i="1" s="1"/>
  <c r="V531" i="1"/>
  <c r="AB531" i="1" s="1"/>
  <c r="I607" i="1"/>
  <c r="K607" i="1" s="1"/>
  <c r="I529" i="1"/>
  <c r="K529" i="1" s="1"/>
  <c r="I786" i="1"/>
  <c r="K786" i="1" s="1"/>
  <c r="P506" i="1"/>
  <c r="R506" i="1" s="1"/>
  <c r="I623" i="1"/>
  <c r="K623" i="1" s="1"/>
  <c r="I3751" i="1"/>
  <c r="K3751" i="1" s="1"/>
  <c r="I3725" i="1"/>
  <c r="P3725" i="1" s="1"/>
  <c r="R3725" i="1" s="1"/>
  <c r="I3344" i="1"/>
  <c r="P3517" i="1"/>
  <c r="R3517" i="1" s="1"/>
  <c r="P2412" i="1"/>
  <c r="R2412" i="1" s="1"/>
  <c r="P1379" i="1"/>
  <c r="R1379" i="1" s="1"/>
  <c r="V1338" i="1"/>
  <c r="X1338" i="1" s="1"/>
  <c r="I2349" i="1"/>
  <c r="K2349" i="1" s="1"/>
  <c r="I785" i="1"/>
  <c r="K785" i="1" s="1"/>
  <c r="I2682" i="1"/>
  <c r="I746" i="1"/>
  <c r="K746" i="1" s="1"/>
  <c r="I744" i="1"/>
  <c r="I1785" i="1" s="1"/>
  <c r="K1785" i="1" s="1"/>
  <c r="I3524" i="1"/>
  <c r="P3528" i="1" s="1"/>
  <c r="R3528" i="1" s="1"/>
  <c r="I2868" i="1"/>
  <c r="K2868" i="1" s="1"/>
  <c r="V84" i="1"/>
  <c r="V112" i="1" s="1"/>
  <c r="X112" i="1" s="1"/>
  <c r="P287" i="1"/>
  <c r="R287" i="1" s="1"/>
  <c r="I340" i="1"/>
  <c r="V340" i="1" s="1"/>
  <c r="X340" i="1" s="1"/>
  <c r="I2791" i="1"/>
  <c r="K2791" i="1" s="1"/>
  <c r="L2757" i="1" s="1"/>
  <c r="I1708" i="1"/>
  <c r="K1708" i="1" s="1"/>
  <c r="I2055" i="1"/>
  <c r="I1228" i="1"/>
  <c r="K1228" i="1" s="1"/>
  <c r="V711" i="1"/>
  <c r="D46" i="32" s="1"/>
  <c r="F46" i="32" s="1"/>
  <c r="H46" i="32" s="1"/>
  <c r="I448" i="1"/>
  <c r="K448" i="1" s="1"/>
  <c r="I2700" i="1"/>
  <c r="K2700" i="1" s="1"/>
  <c r="I2154" i="1"/>
  <c r="K2154" i="1" s="1"/>
  <c r="I2134" i="1"/>
  <c r="K2134" i="1" s="1"/>
  <c r="I1509" i="1"/>
  <c r="K1509" i="1" s="1"/>
  <c r="I1649" i="1"/>
  <c r="I1236" i="1"/>
  <c r="K1236" i="1" s="1"/>
  <c r="I1260" i="1"/>
  <c r="I1226" i="1"/>
  <c r="I1255" i="1"/>
  <c r="P507" i="1"/>
  <c r="R507" i="1" s="1"/>
  <c r="I813" i="1"/>
  <c r="V807" i="1" s="1"/>
  <c r="I416" i="1"/>
  <c r="K416" i="1" s="1"/>
  <c r="P553" i="1"/>
  <c r="R553" i="1" s="1"/>
  <c r="I3736" i="1"/>
  <c r="K3736" i="1" s="1"/>
  <c r="K3738" i="1" s="1"/>
  <c r="K3739" i="1" s="1"/>
  <c r="C941" i="55" s="1"/>
  <c r="I3342" i="1"/>
  <c r="P2410" i="1"/>
  <c r="R2410" i="1" s="1"/>
  <c r="P1303" i="1"/>
  <c r="I2368" i="1"/>
  <c r="K2368" i="1" s="1"/>
  <c r="P2374" i="1"/>
  <c r="R2374" i="1" s="1"/>
  <c r="V3673" i="1"/>
  <c r="I3797" i="1"/>
  <c r="K3797" i="1" s="1"/>
  <c r="P1550" i="1"/>
  <c r="R1550" i="1" s="1"/>
  <c r="I820" i="1"/>
  <c r="K820" i="1" s="1"/>
  <c r="I1773" i="1"/>
  <c r="K1773" i="1" s="1"/>
  <c r="I1604" i="1"/>
  <c r="I1576" i="1"/>
  <c r="K1576" i="1" s="1"/>
  <c r="P2336" i="1"/>
  <c r="R2336" i="1" s="1"/>
  <c r="I2329" i="1"/>
  <c r="K2329" i="1" s="1"/>
  <c r="I1588" i="1"/>
  <c r="K1588" i="1" s="1"/>
  <c r="I1615" i="1"/>
  <c r="K1615" i="1" s="1"/>
  <c r="I1575" i="1"/>
  <c r="K1575" i="1" s="1"/>
  <c r="P152" i="1"/>
  <c r="R152" i="1" s="1"/>
  <c r="I213" i="1"/>
  <c r="K213" i="1" s="1"/>
  <c r="P311" i="1"/>
  <c r="R311" i="1" s="1"/>
  <c r="I339" i="1"/>
  <c r="V339" i="1" s="1"/>
  <c r="AE339" i="1" s="1"/>
  <c r="AG339" i="1" s="1"/>
  <c r="K724" i="1"/>
  <c r="I726" i="1" s="1"/>
  <c r="K726" i="1" s="1"/>
  <c r="I1536" i="1"/>
  <c r="I1148" i="1"/>
  <c r="K1148" i="1" s="1"/>
  <c r="P2411" i="1"/>
  <c r="R2411" i="1" s="1"/>
  <c r="P1304" i="1"/>
  <c r="R1304" i="1" s="1"/>
  <c r="I3723" i="1"/>
  <c r="K3723" i="1" s="1"/>
  <c r="V3671" i="1"/>
  <c r="I3795" i="1"/>
  <c r="K3795" i="1" s="1"/>
  <c r="I3768" i="1"/>
  <c r="K3768" i="1" s="1"/>
  <c r="I3705" i="1"/>
  <c r="K3705" i="1" s="1"/>
  <c r="AF3106" i="1"/>
  <c r="P1548" i="1"/>
  <c r="R1548" i="1" s="1"/>
  <c r="P1403" i="1"/>
  <c r="V1364" i="1" s="1"/>
  <c r="J707" i="1"/>
  <c r="I3284" i="1"/>
  <c r="K3284" i="1" s="1"/>
  <c r="I2637" i="1"/>
  <c r="P2644" i="1" s="1"/>
  <c r="R2644" i="1" s="1"/>
  <c r="V3134" i="1"/>
  <c r="V3159" i="1" s="1"/>
  <c r="I1064" i="1"/>
  <c r="K1027" i="1"/>
  <c r="P1118" i="1"/>
  <c r="R1118" i="1" s="1"/>
  <c r="R1097" i="1"/>
  <c r="P1120" i="1"/>
  <c r="R1120" i="1" s="1"/>
  <c r="R1099" i="1"/>
  <c r="I56" i="1"/>
  <c r="P69" i="1"/>
  <c r="R69" i="1" s="1"/>
  <c r="I200" i="1"/>
  <c r="I315" i="1"/>
  <c r="I3104" i="1"/>
  <c r="P2078" i="1" s="1"/>
  <c r="P1049" i="1"/>
  <c r="R1049" i="1" s="1"/>
  <c r="P1427" i="1"/>
  <c r="P1443" i="1" s="1"/>
  <c r="R1410" i="1"/>
  <c r="V1371" i="1"/>
  <c r="V1388" i="1" s="1"/>
  <c r="V1404" i="1" s="1"/>
  <c r="P1442" i="1"/>
  <c r="R1442" i="1" s="1"/>
  <c r="R1426" i="1"/>
  <c r="AD649" i="1"/>
  <c r="AF649" i="1" s="1"/>
  <c r="V880" i="1"/>
  <c r="V896" i="1" s="1"/>
  <c r="X896" i="1" s="1"/>
  <c r="K992" i="1"/>
  <c r="K996" i="1"/>
  <c r="K1023" i="1"/>
  <c r="P1052" i="1"/>
  <c r="R1052" i="1" s="1"/>
  <c r="P1119" i="1"/>
  <c r="R1119" i="1" s="1"/>
  <c r="I2978" i="1"/>
  <c r="K2842" i="1"/>
  <c r="AE1071" i="1"/>
  <c r="AG1071" i="1" s="1"/>
  <c r="P1055" i="1"/>
  <c r="R1055" i="1" s="1"/>
  <c r="P1073" i="1"/>
  <c r="V583" i="1"/>
  <c r="X583" i="1" s="1"/>
  <c r="X649" i="1"/>
  <c r="V680" i="1"/>
  <c r="X680" i="1" s="1"/>
  <c r="AE829" i="1"/>
  <c r="K880" i="1"/>
  <c r="V883" i="1"/>
  <c r="X883" i="1" s="1"/>
  <c r="P953" i="1"/>
  <c r="R953" i="1" s="1"/>
  <c r="K991" i="1"/>
  <c r="K995" i="1"/>
  <c r="K1024" i="1"/>
  <c r="AE1065" i="1"/>
  <c r="AG1065" i="1" s="1"/>
  <c r="I2427" i="1"/>
  <c r="P2434" i="1" s="1"/>
  <c r="P1223" i="1"/>
  <c r="R1223" i="1" s="1"/>
  <c r="T1223" i="1" s="1"/>
  <c r="I2973" i="1"/>
  <c r="K2973" i="1" s="1"/>
  <c r="K2837" i="1"/>
  <c r="I2977" i="1"/>
  <c r="K2841" i="1"/>
  <c r="AE1068" i="1"/>
  <c r="AG1068" i="1" s="1"/>
  <c r="K1059" i="1"/>
  <c r="I3992" i="1"/>
  <c r="I4008" i="1" s="1"/>
  <c r="I36" i="25" s="1"/>
  <c r="AB1372" i="1"/>
  <c r="AD1372" i="1" s="1"/>
  <c r="AD1355" i="1"/>
  <c r="I3993" i="1"/>
  <c r="K3993" i="1" s="1"/>
  <c r="AB1373" i="1"/>
  <c r="AD1373" i="1" s="1"/>
  <c r="AD1356" i="1"/>
  <c r="P1450" i="1"/>
  <c r="R1450" i="1" s="1"/>
  <c r="R1434" i="1"/>
  <c r="I2976" i="1"/>
  <c r="P2983" i="1" s="1"/>
  <c r="R2983" i="1" s="1"/>
  <c r="K2840" i="1"/>
  <c r="P1116" i="1"/>
  <c r="R1116" i="1" s="1"/>
  <c r="P1399" i="1"/>
  <c r="R1399" i="1" s="1"/>
  <c r="K1058" i="1"/>
  <c r="K1061" i="1"/>
  <c r="R1265" i="1"/>
  <c r="AB1351" i="1"/>
  <c r="AD1351" i="1" s="1"/>
  <c r="AB1353" i="1"/>
  <c r="AB1370" i="1" s="1"/>
  <c r="V1375" i="1"/>
  <c r="V1379" i="1"/>
  <c r="R1395" i="1"/>
  <c r="P1411" i="1"/>
  <c r="V1372" i="1" s="1"/>
  <c r="R1417" i="1"/>
  <c r="P1431" i="1"/>
  <c r="P1447" i="1" s="1"/>
  <c r="AE1070" i="1"/>
  <c r="AG1070" i="1" s="1"/>
  <c r="V1370" i="1"/>
  <c r="V1387" i="1" s="1"/>
  <c r="V1393" i="1"/>
  <c r="X1393" i="1" s="1"/>
  <c r="V1397" i="1"/>
  <c r="X1397" i="1" s="1"/>
  <c r="R1409" i="1"/>
  <c r="R1418" i="1"/>
  <c r="R1419" i="1"/>
  <c r="R1393" i="1"/>
  <c r="I3169" i="1"/>
  <c r="I3182" i="1" s="1"/>
  <c r="K1506" i="1"/>
  <c r="I3226" i="1"/>
  <c r="K3211" i="1"/>
  <c r="L3177" i="1" s="1"/>
  <c r="K3197" i="1"/>
  <c r="I3242" i="1"/>
  <c r="P2862" i="1"/>
  <c r="R2862" i="1" s="1"/>
  <c r="R2829" i="1"/>
  <c r="R3235" i="1"/>
  <c r="P3269" i="1"/>
  <c r="P3336" i="1" s="1"/>
  <c r="R3336" i="1" s="1"/>
  <c r="P3363" i="1"/>
  <c r="R3363" i="1" s="1"/>
  <c r="R3326" i="1"/>
  <c r="K1696" i="1"/>
  <c r="K1698" i="1" s="1"/>
  <c r="C367" i="55" s="1"/>
  <c r="I1872" i="1"/>
  <c r="K1872" i="1" s="1"/>
  <c r="N1945" i="1"/>
  <c r="N1946" i="1" s="1"/>
  <c r="P2298" i="1"/>
  <c r="R2298" i="1" s="1"/>
  <c r="I2314" i="1"/>
  <c r="K2314" i="1" s="1"/>
  <c r="K2468" i="1"/>
  <c r="I2488" i="1"/>
  <c r="K2488" i="1" s="1"/>
  <c r="V2606" i="1"/>
  <c r="AE2620" i="1" s="1"/>
  <c r="AG2620" i="1" s="1"/>
  <c r="V2607" i="1"/>
  <c r="P2650" i="1"/>
  <c r="R2650" i="1" s="1"/>
  <c r="I2764" i="1"/>
  <c r="H3876" i="1"/>
  <c r="H3892" i="1" s="1"/>
  <c r="J3892" i="1" s="1"/>
  <c r="J3855" i="1"/>
  <c r="P2864" i="1"/>
  <c r="R2864" i="1" s="1"/>
  <c r="R2831" i="1"/>
  <c r="V3122" i="1"/>
  <c r="I4072" i="1" s="1"/>
  <c r="K4072" i="1" s="1"/>
  <c r="R3161" i="1"/>
  <c r="K1879" i="1"/>
  <c r="P1969" i="1"/>
  <c r="R1969" i="1" s="1"/>
  <c r="P2007" i="1"/>
  <c r="K2150" i="1"/>
  <c r="I2486" i="1"/>
  <c r="K2486" i="1" s="1"/>
  <c r="X2608" i="1"/>
  <c r="K2639" i="1"/>
  <c r="P2675" i="1"/>
  <c r="E2761" i="1"/>
  <c r="P2645" i="1"/>
  <c r="R2645" i="1" s="1"/>
  <c r="I3108" i="1"/>
  <c r="P2082" i="1" s="1"/>
  <c r="R2082" i="1" s="1"/>
  <c r="K2670" i="1"/>
  <c r="P2677" i="1"/>
  <c r="K1629" i="1"/>
  <c r="K1807" i="1"/>
  <c r="K1841" i="1"/>
  <c r="K2467" i="1"/>
  <c r="K2469" i="1"/>
  <c r="K2510" i="1"/>
  <c r="P3366" i="1"/>
  <c r="R3366" i="1" s="1"/>
  <c r="R3297" i="1"/>
  <c r="P3400" i="1"/>
  <c r="R3400" i="1" s="1"/>
  <c r="K3325" i="1"/>
  <c r="I3394" i="1"/>
  <c r="S2784" i="1"/>
  <c r="I3525" i="1"/>
  <c r="I3541" i="1" s="1"/>
  <c r="P3545" i="1" s="1"/>
  <c r="R3545" i="1" s="1"/>
  <c r="P3330" i="1"/>
  <c r="R3330" i="1" s="1"/>
  <c r="V3618" i="1"/>
  <c r="X3618" i="1" s="1"/>
  <c r="AG3555" i="1"/>
  <c r="K3957" i="1"/>
  <c r="I3974" i="1"/>
  <c r="K3974" i="1" s="1"/>
  <c r="V3136" i="1"/>
  <c r="P3156" i="1"/>
  <c r="V3160" i="1"/>
  <c r="X3160" i="1" s="1"/>
  <c r="V3162" i="1"/>
  <c r="R3224" i="1"/>
  <c r="R3230" i="1"/>
  <c r="R3233" i="1"/>
  <c r="R3268" i="1"/>
  <c r="P3299" i="1"/>
  <c r="P3368" i="1" s="1"/>
  <c r="R3368" i="1" s="1"/>
  <c r="P3300" i="1"/>
  <c r="R3300" i="1" s="1"/>
  <c r="P3301" i="1"/>
  <c r="P3404" i="1" s="1"/>
  <c r="P3332" i="1"/>
  <c r="R3332" i="1" s="1"/>
  <c r="I3418" i="1"/>
  <c r="F3423" i="1" s="1"/>
  <c r="K3423" i="1" s="1"/>
  <c r="P3443" i="1"/>
  <c r="R3443" i="1" s="1"/>
  <c r="I3526" i="1"/>
  <c r="K3526" i="1" s="1"/>
  <c r="P3331" i="1"/>
  <c r="R3331" i="1" s="1"/>
  <c r="X3116" i="1"/>
  <c r="K3154" i="1"/>
  <c r="R3234" i="1"/>
  <c r="P3264" i="1"/>
  <c r="K3291" i="1"/>
  <c r="R3294" i="1"/>
  <c r="P3335" i="1"/>
  <c r="R3335" i="1" s="1"/>
  <c r="I3975" i="1"/>
  <c r="K3975" i="1" s="1"/>
  <c r="K3958" i="1"/>
  <c r="K4025" i="1"/>
  <c r="I4038" i="1"/>
  <c r="K4038" i="1" s="1"/>
  <c r="V3133" i="1"/>
  <c r="V3158" i="1" s="1"/>
  <c r="X3158" i="1" s="1"/>
  <c r="P3298" i="1"/>
  <c r="K3523" i="1"/>
  <c r="F3524" i="1"/>
  <c r="P3444" i="1"/>
  <c r="R3444" i="1" s="1"/>
  <c r="R3527" i="1"/>
  <c r="S3519" i="1"/>
  <c r="F3540" i="1"/>
  <c r="M3543" i="1"/>
  <c r="AE3546" i="1"/>
  <c r="AG3546" i="1" s="1"/>
  <c r="S3556" i="1"/>
  <c r="K3561" i="1"/>
  <c r="K3574" i="1"/>
  <c r="K3575" i="1"/>
  <c r="K3603" i="1"/>
  <c r="V3684" i="1"/>
  <c r="V3702" i="1" s="1"/>
  <c r="X3702" i="1" s="1"/>
  <c r="K3960" i="1"/>
  <c r="S3540" i="1"/>
  <c r="I3544" i="1"/>
  <c r="K3544" i="1" s="1"/>
  <c r="V3555" i="1"/>
  <c r="V3571" i="1" s="1"/>
  <c r="V3586" i="1" s="1"/>
  <c r="X3586" i="1" s="1"/>
  <c r="AB3556" i="1"/>
  <c r="I3807" i="1"/>
  <c r="K3807" i="1" s="1"/>
  <c r="K3528" i="1"/>
  <c r="K3546" i="1"/>
  <c r="V3546" i="1"/>
  <c r="V3562" i="1" s="1"/>
  <c r="V3578" i="1" s="1"/>
  <c r="X3578" i="1" s="1"/>
  <c r="S3571" i="1"/>
  <c r="K4010" i="1"/>
  <c r="D626" i="25"/>
  <c r="F626" i="25" s="1"/>
  <c r="AJ1198" i="1"/>
  <c r="AH247" i="11"/>
  <c r="V3544" i="1"/>
  <c r="V3560" i="1" s="1"/>
  <c r="AD1353" i="1"/>
  <c r="I3061" i="1"/>
  <c r="P3068" i="1" s="1"/>
  <c r="R3068" i="1" s="1"/>
  <c r="K2976" i="1"/>
  <c r="AB1389" i="1"/>
  <c r="AD1389" i="1" s="1"/>
  <c r="P3370" i="1"/>
  <c r="R3370" i="1" s="1"/>
  <c r="R3301" i="1"/>
  <c r="X2606" i="1"/>
  <c r="R1431" i="1"/>
  <c r="K1064" i="1"/>
  <c r="I1079" i="1"/>
  <c r="K1079" i="1" s="1"/>
  <c r="P998" i="1"/>
  <c r="R998" i="1" s="1"/>
  <c r="AE1073" i="1"/>
  <c r="AG1073" i="1" s="1"/>
  <c r="P2980" i="1"/>
  <c r="R2980" i="1" s="1"/>
  <c r="I2765" i="1"/>
  <c r="K2765" i="1" s="1"/>
  <c r="K2764" i="1"/>
  <c r="AE2621" i="1"/>
  <c r="AG2621" i="1" s="1"/>
  <c r="X2607" i="1"/>
  <c r="Z2605" i="1"/>
  <c r="K3104" i="1"/>
  <c r="I1603" i="1"/>
  <c r="K1603" i="1" s="1"/>
  <c r="K744" i="1"/>
  <c r="X1337" i="1"/>
  <c r="P3402" i="1"/>
  <c r="R3402" i="1" s="1"/>
  <c r="R3299" i="1"/>
  <c r="K3525" i="1"/>
  <c r="R1411" i="1"/>
  <c r="P1428" i="1"/>
  <c r="R1428" i="1" s="1"/>
  <c r="X1375" i="1"/>
  <c r="V1392" i="1"/>
  <c r="X1392" i="1" s="1"/>
  <c r="AB1390" i="1"/>
  <c r="AD1390" i="1" s="1"/>
  <c r="K3760" i="1"/>
  <c r="K3761" i="1" s="1"/>
  <c r="K3524" i="1"/>
  <c r="P3724" i="1"/>
  <c r="R3724" i="1" s="1"/>
  <c r="D662" i="25"/>
  <c r="D698" i="25" s="1"/>
  <c r="F698" i="25" s="1"/>
  <c r="D45" i="32"/>
  <c r="F45" i="32" s="1"/>
  <c r="H45" i="32" s="1"/>
  <c r="V1408" i="1"/>
  <c r="X1388" i="1"/>
  <c r="P3371" i="1"/>
  <c r="R3371" i="1" s="1"/>
  <c r="V3716" i="1"/>
  <c r="X3716" i="1" s="1"/>
  <c r="AB1406" i="1"/>
  <c r="AD1406" i="1" s="1"/>
  <c r="X1408" i="1"/>
  <c r="X14" i="1"/>
  <c r="K1011" i="27"/>
  <c r="I2522" i="27"/>
  <c r="K2522" i="27" s="1"/>
  <c r="I912" i="27"/>
  <c r="I28" i="27"/>
  <c r="K28" i="27" s="1"/>
  <c r="P22" i="27"/>
  <c r="R22" i="27" s="1"/>
  <c r="R28" i="27" s="1"/>
  <c r="R30" i="27" s="1"/>
  <c r="I64" i="27"/>
  <c r="K64" i="27" s="1"/>
  <c r="I36" i="27"/>
  <c r="K36" i="27" s="1"/>
  <c r="I773" i="27"/>
  <c r="K773" i="27" s="1"/>
  <c r="I2051" i="27"/>
  <c r="K2051" i="27" s="1"/>
  <c r="I2071" i="27"/>
  <c r="K2071" i="27" s="1"/>
  <c r="I54" i="27"/>
  <c r="K54" i="27" s="1"/>
  <c r="K58" i="27" s="1"/>
  <c r="I73" i="27"/>
  <c r="K73" i="27" s="1"/>
  <c r="P689" i="27"/>
  <c r="R689" i="27" s="1"/>
  <c r="P704" i="27"/>
  <c r="R704" i="27" s="1"/>
  <c r="P720" i="27"/>
  <c r="R720" i="27" s="1"/>
  <c r="I2165" i="27"/>
  <c r="K2165" i="27" s="1"/>
  <c r="Z11" i="27"/>
  <c r="AC11" i="27" s="1"/>
  <c r="C70" i="27" s="1"/>
  <c r="I881" i="27"/>
  <c r="K881" i="27" s="1"/>
  <c r="P209" i="27"/>
  <c r="R209" i="27" s="1"/>
  <c r="I945" i="27"/>
  <c r="K945" i="27" s="1"/>
  <c r="X35" i="1"/>
  <c r="I910" i="27"/>
  <c r="K910" i="27" s="1"/>
  <c r="W406" i="1"/>
  <c r="W407" i="1" s="1"/>
  <c r="P24" i="1"/>
  <c r="R24" i="1" s="1"/>
  <c r="I2554" i="27"/>
  <c r="I2585" i="27" s="1"/>
  <c r="K2585" i="27" s="1"/>
  <c r="K222" i="11"/>
  <c r="I1067" i="11"/>
  <c r="K1067" i="11" s="1"/>
  <c r="I900" i="11"/>
  <c r="K900" i="11" s="1"/>
  <c r="K793" i="11"/>
  <c r="P794" i="11"/>
  <c r="R794" i="11" s="1"/>
  <c r="I447" i="11"/>
  <c r="I506" i="11" s="1"/>
  <c r="K506" i="11" s="1"/>
  <c r="K434" i="11"/>
  <c r="K575" i="11"/>
  <c r="I594" i="11"/>
  <c r="K594" i="11" s="1"/>
  <c r="I123" i="11"/>
  <c r="K123" i="11" s="1"/>
  <c r="K103" i="11"/>
  <c r="I221" i="11"/>
  <c r="I1066" i="11" s="1"/>
  <c r="K1066" i="11" s="1"/>
  <c r="K218" i="11"/>
  <c r="I1063" i="11"/>
  <c r="K1063" i="11" s="1"/>
  <c r="I855" i="11"/>
  <c r="K855" i="11" s="1"/>
  <c r="K759" i="11"/>
  <c r="I121" i="11"/>
  <c r="K101" i="11"/>
  <c r="I219" i="11"/>
  <c r="I878" i="11"/>
  <c r="K878" i="11" s="1"/>
  <c r="K881" i="11" s="1"/>
  <c r="K869" i="11"/>
  <c r="K871" i="11" s="1"/>
  <c r="I701" i="11"/>
  <c r="D439" i="81" s="1"/>
  <c r="F439" i="81" s="1"/>
  <c r="K663" i="11"/>
  <c r="K19" i="11"/>
  <c r="K62" i="11" s="1"/>
  <c r="K1029" i="11" s="1"/>
  <c r="P21" i="11"/>
  <c r="R21" i="11" s="1"/>
  <c r="K75" i="11"/>
  <c r="I78" i="11"/>
  <c r="K78" i="11" s="1"/>
  <c r="K79" i="11"/>
  <c r="I83" i="11"/>
  <c r="I206" i="11" s="1"/>
  <c r="K206" i="11" s="1"/>
  <c r="K100" i="11"/>
  <c r="K104" i="11"/>
  <c r="I108" i="11"/>
  <c r="I226" i="11" s="1"/>
  <c r="I110" i="11"/>
  <c r="K110" i="11" s="1"/>
  <c r="K126" i="11"/>
  <c r="I170" i="11"/>
  <c r="K170" i="11" s="1"/>
  <c r="I176" i="11"/>
  <c r="K176" i="11" s="1"/>
  <c r="K281" i="11"/>
  <c r="P298" i="11"/>
  <c r="R298" i="11" s="1"/>
  <c r="K416" i="11"/>
  <c r="K584" i="11"/>
  <c r="P673" i="11"/>
  <c r="R673" i="11" s="1"/>
  <c r="P674" i="11"/>
  <c r="R674" i="11" s="1"/>
  <c r="P675" i="11"/>
  <c r="R675" i="11" s="1"/>
  <c r="I758" i="11"/>
  <c r="K758" i="11" s="1"/>
  <c r="I785" i="11"/>
  <c r="I816" i="11" s="1"/>
  <c r="K816" i="11" s="1"/>
  <c r="I792" i="11"/>
  <c r="I794" i="11"/>
  <c r="P795" i="11" s="1"/>
  <c r="M910" i="11"/>
  <c r="I977" i="11"/>
  <c r="K977" i="11" s="1"/>
  <c r="I987" i="11"/>
  <c r="K987" i="11" s="1"/>
  <c r="K1052" i="11" s="1"/>
  <c r="I1087" i="11"/>
  <c r="K1087" i="11" s="1"/>
  <c r="P51" i="11"/>
  <c r="R51" i="11" s="1"/>
  <c r="I120" i="11"/>
  <c r="I141" i="11" s="1"/>
  <c r="P663" i="11"/>
  <c r="R663" i="11" s="1"/>
  <c r="R16" i="11"/>
  <c r="K77" i="11"/>
  <c r="I80" i="11"/>
  <c r="I105" i="11"/>
  <c r="K105" i="11" s="1"/>
  <c r="K125" i="11"/>
  <c r="I128" i="11"/>
  <c r="I1090" i="11" s="1"/>
  <c r="K1090" i="11" s="1"/>
  <c r="I143" i="11"/>
  <c r="I198" i="11"/>
  <c r="K198" i="11" s="1"/>
  <c r="I200" i="11"/>
  <c r="K200" i="11" s="1"/>
  <c r="K327" i="11"/>
  <c r="K417" i="11"/>
  <c r="P665" i="11"/>
  <c r="R665" i="11" s="1"/>
  <c r="P23" i="11"/>
  <c r="P56" i="11" s="1"/>
  <c r="R56" i="11" s="1"/>
  <c r="P377" i="1"/>
  <c r="R377" i="1" s="1"/>
  <c r="P391" i="1"/>
  <c r="AC32" i="1"/>
  <c r="C140" i="1" s="1"/>
  <c r="Z33" i="1"/>
  <c r="AC33" i="1" s="1"/>
  <c r="I3732" i="27"/>
  <c r="K3732" i="27" s="1"/>
  <c r="K3625" i="27"/>
  <c r="C449" i="55"/>
  <c r="P2879" i="27"/>
  <c r="R2879" i="27" s="1"/>
  <c r="I3718" i="27"/>
  <c r="K3718" i="27" s="1"/>
  <c r="K3141" i="27"/>
  <c r="K3142" i="27" s="1"/>
  <c r="K3134" i="27" s="1"/>
  <c r="K3135" i="27" s="1"/>
  <c r="I3589" i="27"/>
  <c r="K3589" i="27" s="1"/>
  <c r="I130" i="11"/>
  <c r="I1092" i="11" s="1"/>
  <c r="K1092" i="11" s="1"/>
  <c r="P819" i="11"/>
  <c r="R819" i="11" s="1"/>
  <c r="K128" i="11"/>
  <c r="K447" i="11"/>
  <c r="I491" i="11"/>
  <c r="K491" i="11" s="1"/>
  <c r="K785" i="11"/>
  <c r="P786" i="11"/>
  <c r="R786" i="11" s="1"/>
  <c r="I107" i="11"/>
  <c r="K107" i="11" s="1"/>
  <c r="K108" i="11"/>
  <c r="K701" i="11"/>
  <c r="K221" i="11"/>
  <c r="I3699" i="27"/>
  <c r="K3699" i="27" s="1"/>
  <c r="P57" i="11"/>
  <c r="R57" i="11" s="1"/>
  <c r="C79" i="27"/>
  <c r="I151" i="27" s="1"/>
  <c r="K151" i="27" s="1"/>
  <c r="K160" i="27" s="1"/>
  <c r="I254" i="27"/>
  <c r="K254" i="27" s="1"/>
  <c r="I2617" i="27"/>
  <c r="K2617" i="27" s="1"/>
  <c r="I2260" i="27"/>
  <c r="I2662" i="27" s="1"/>
  <c r="K2662" i="27" s="1"/>
  <c r="K1083" i="27"/>
  <c r="I1084" i="27"/>
  <c r="K1084" i="27" s="1"/>
  <c r="P210" i="27"/>
  <c r="R210" i="27" s="1"/>
  <c r="I888" i="27"/>
  <c r="K888" i="27" s="1"/>
  <c r="I1044" i="27"/>
  <c r="K1044" i="27" s="1"/>
  <c r="I975" i="27"/>
  <c r="K975" i="27" s="1"/>
  <c r="I1059" i="27"/>
  <c r="K1059" i="27" s="1"/>
  <c r="I1029" i="27"/>
  <c r="K1029" i="27" s="1"/>
  <c r="I946" i="27"/>
  <c r="K946" i="27" s="1"/>
  <c r="I911" i="27"/>
  <c r="K911" i="27" s="1"/>
  <c r="I1012" i="27"/>
  <c r="I2523" i="27" s="1"/>
  <c r="K2523" i="27" s="1"/>
  <c r="I378" i="27"/>
  <c r="K378" i="27" s="1"/>
  <c r="K386" i="27" s="1"/>
  <c r="K388" i="27" s="1"/>
  <c r="I393" i="27" s="1"/>
  <c r="K393" i="27" s="1"/>
  <c r="K397" i="27" s="1"/>
  <c r="K399" i="27" s="1"/>
  <c r="K401" i="27" s="1"/>
  <c r="K402" i="27" s="1"/>
  <c r="K403" i="27" s="1"/>
  <c r="K404" i="27" s="1"/>
  <c r="K405" i="27" s="1"/>
  <c r="I310" i="27"/>
  <c r="K310" i="27" s="1"/>
  <c r="K318" i="27" s="1"/>
  <c r="K320" i="27" s="1"/>
  <c r="I409" i="27"/>
  <c r="K409" i="27" s="1"/>
  <c r="K417" i="27" s="1"/>
  <c r="K419" i="27" s="1"/>
  <c r="I334" i="27"/>
  <c r="K334" i="27" s="1"/>
  <c r="K342" i="27" s="1"/>
  <c r="K344" i="27" s="1"/>
  <c r="K346" i="27" s="1"/>
  <c r="K347" i="27" s="1"/>
  <c r="K348" i="27" s="1"/>
  <c r="K349" i="27" s="1"/>
  <c r="K350" i="27" s="1"/>
  <c r="I354" i="27"/>
  <c r="K354" i="27" s="1"/>
  <c r="K362" i="27" s="1"/>
  <c r="K364" i="27" s="1"/>
  <c r="K366" i="27" s="1"/>
  <c r="K1012" i="27"/>
  <c r="I139" i="27"/>
  <c r="K139" i="27" s="1"/>
  <c r="K143" i="27" s="1"/>
  <c r="I224" i="27" l="1"/>
  <c r="K224" i="27" s="1"/>
  <c r="K231" i="27" s="1"/>
  <c r="K233" i="27" s="1"/>
  <c r="C82" i="27"/>
  <c r="I1253" i="27" s="1"/>
  <c r="K1253" i="27" s="1"/>
  <c r="K1260" i="27" s="1"/>
  <c r="K1262" i="27" s="1"/>
  <c r="I1909" i="27" s="1"/>
  <c r="K1909" i="27" s="1"/>
  <c r="K1920" i="27" s="1"/>
  <c r="I1421" i="27"/>
  <c r="K1421" i="27" s="1"/>
  <c r="P375" i="27"/>
  <c r="R375" i="27" s="1"/>
  <c r="P389" i="27"/>
  <c r="R389" i="27" s="1"/>
  <c r="K2956" i="27"/>
  <c r="I2959" i="27"/>
  <c r="I1064" i="11"/>
  <c r="K1064" i="11" s="1"/>
  <c r="D451" i="81"/>
  <c r="F451" i="81" s="1"/>
  <c r="R23" i="11"/>
  <c r="K2175" i="27"/>
  <c r="K2178" i="27" s="1"/>
  <c r="K2211" i="27" s="1"/>
  <c r="AB1423" i="1"/>
  <c r="AD1423" i="1" s="1"/>
  <c r="X3562" i="1"/>
  <c r="V1360" i="1"/>
  <c r="I3995" i="1" s="1"/>
  <c r="K3995" i="1" s="1"/>
  <c r="I4009" i="1"/>
  <c r="X3122" i="1"/>
  <c r="K3108" i="1"/>
  <c r="I2759" i="27"/>
  <c r="K2759" i="27" s="1"/>
  <c r="K2868" i="27"/>
  <c r="I2913" i="27"/>
  <c r="K2913" i="27" s="1"/>
  <c r="P2847" i="27"/>
  <c r="P2880" i="27" s="1"/>
  <c r="R2880" i="27" s="1"/>
  <c r="K3767" i="27"/>
  <c r="K2201" i="27" s="1"/>
  <c r="I1775" i="27"/>
  <c r="K1775" i="27" s="1"/>
  <c r="I1507" i="27"/>
  <c r="K1507" i="27" s="1"/>
  <c r="I1205" i="27"/>
  <c r="K1205" i="27" s="1"/>
  <c r="P365" i="27"/>
  <c r="R365" i="27" s="1"/>
  <c r="K282" i="27"/>
  <c r="P84" i="27"/>
  <c r="R84" i="27" s="1"/>
  <c r="AE2613" i="1"/>
  <c r="AB2618" i="1" s="1"/>
  <c r="AG2618" i="1" s="1"/>
  <c r="I3413" i="1"/>
  <c r="F3422" i="1" s="1"/>
  <c r="P53" i="11"/>
  <c r="R53" i="11" s="1"/>
  <c r="F450" i="81"/>
  <c r="D453" i="81"/>
  <c r="F453" i="81" s="1"/>
  <c r="I976" i="11"/>
  <c r="K976" i="11" s="1"/>
  <c r="K219" i="11"/>
  <c r="D26" i="25"/>
  <c r="D39" i="25" s="1"/>
  <c r="F39" i="25" s="1"/>
  <c r="V3139" i="1"/>
  <c r="V3164" i="1" s="1"/>
  <c r="X3164" i="1" s="1"/>
  <c r="Z2604" i="1"/>
  <c r="P1459" i="1"/>
  <c r="R1303" i="1"/>
  <c r="D467" i="81"/>
  <c r="F467" i="81" s="1"/>
  <c r="F470" i="81" s="1"/>
  <c r="F472" i="81" s="1"/>
  <c r="R2849" i="27"/>
  <c r="R875" i="27"/>
  <c r="I2776" i="1"/>
  <c r="D416" i="81"/>
  <c r="F416" i="81" s="1"/>
  <c r="F419" i="81" s="1"/>
  <c r="F421" i="81" s="1"/>
  <c r="P300" i="1"/>
  <c r="R300" i="1" s="1"/>
  <c r="D492" i="81"/>
  <c r="F492" i="81" s="1"/>
  <c r="D479" i="81"/>
  <c r="F479" i="81" s="1"/>
  <c r="D401" i="81"/>
  <c r="F401" i="81" s="1"/>
  <c r="I449" i="1"/>
  <c r="K449" i="1" s="1"/>
  <c r="D400" i="81"/>
  <c r="F400" i="81" s="1"/>
  <c r="D491" i="81"/>
  <c r="F491" i="81" s="1"/>
  <c r="F495" i="81" s="1"/>
  <c r="F497" i="81" s="1"/>
  <c r="D478" i="81"/>
  <c r="F478" i="81" s="1"/>
  <c r="I490" i="1"/>
  <c r="K490" i="1" s="1"/>
  <c r="D490" i="81"/>
  <c r="F490" i="81" s="1"/>
  <c r="AD573" i="1"/>
  <c r="X881" i="1"/>
  <c r="D108" i="32"/>
  <c r="F108" i="32" s="1"/>
  <c r="P2854" i="27"/>
  <c r="P2887" i="27" s="1"/>
  <c r="R2887" i="27" s="1"/>
  <c r="V3593" i="1"/>
  <c r="X3593" i="1" s="1"/>
  <c r="J3876" i="1"/>
  <c r="X3133" i="1"/>
  <c r="I2996" i="27"/>
  <c r="P2872" i="27"/>
  <c r="R2872" i="27" s="1"/>
  <c r="K2844" i="27"/>
  <c r="I3000" i="27"/>
  <c r="K3000" i="27" s="1"/>
  <c r="I2562" i="27"/>
  <c r="K2021" i="27"/>
  <c r="I383" i="27"/>
  <c r="K383" i="27" s="1"/>
  <c r="P338" i="27"/>
  <c r="R338" i="27" s="1"/>
  <c r="I300" i="27"/>
  <c r="K300" i="27" s="1"/>
  <c r="P193" i="27"/>
  <c r="R193" i="27" s="1"/>
  <c r="E605" i="25"/>
  <c r="A618" i="25" s="1"/>
  <c r="K4" i="4"/>
  <c r="K5" i="4" s="1"/>
  <c r="K6" i="4" s="1"/>
  <c r="K12" i="4"/>
  <c r="F26" i="25"/>
  <c r="D620" i="25"/>
  <c r="D656" i="25" s="1"/>
  <c r="F656" i="25" s="1"/>
  <c r="K340" i="1"/>
  <c r="K3725" i="1"/>
  <c r="X13" i="1"/>
  <c r="K309" i="11"/>
  <c r="K310" i="11" s="1"/>
  <c r="K311" i="11" s="1"/>
  <c r="K303" i="11" s="1"/>
  <c r="K436" i="11"/>
  <c r="I3267" i="27"/>
  <c r="K328" i="11"/>
  <c r="I3748" i="27"/>
  <c r="K3748" i="27" s="1"/>
  <c r="K418" i="11"/>
  <c r="K435" i="11"/>
  <c r="I448" i="11"/>
  <c r="I507" i="11" s="1"/>
  <c r="K507" i="11" s="1"/>
  <c r="I1786" i="1"/>
  <c r="K1786" i="1" s="1"/>
  <c r="W436" i="1"/>
  <c r="W437" i="1" s="1"/>
  <c r="W438" i="1" s="1"/>
  <c r="W439" i="1" s="1"/>
  <c r="AF413" i="1"/>
  <c r="AF414" i="1" s="1"/>
  <c r="AF415" i="1" s="1"/>
  <c r="AF416" i="1" s="1"/>
  <c r="AF417" i="1" s="1"/>
  <c r="AF418" i="1" s="1"/>
  <c r="AF419" i="1" s="1"/>
  <c r="AF420" i="1" s="1"/>
  <c r="AF421" i="1" s="1"/>
  <c r="AF422" i="1" s="1"/>
  <c r="AF423" i="1" s="1"/>
  <c r="J708" i="1"/>
  <c r="J709" i="1" s="1"/>
  <c r="J710" i="1" s="1"/>
  <c r="J711" i="1" s="1"/>
  <c r="AF450" i="1"/>
  <c r="J688" i="1"/>
  <c r="J689" i="1" s="1"/>
  <c r="J690" i="1" s="1"/>
  <c r="J691" i="1" s="1"/>
  <c r="W403" i="1"/>
  <c r="W435" i="1"/>
  <c r="AF412" i="1"/>
  <c r="AR401" i="1" s="1"/>
  <c r="AF449" i="1"/>
  <c r="I1616" i="1"/>
  <c r="I95" i="1"/>
  <c r="K95" i="1" s="1"/>
  <c r="I3103" i="1"/>
  <c r="X3117" i="1"/>
  <c r="I1057" i="1"/>
  <c r="I3150" i="1"/>
  <c r="I1132" i="1"/>
  <c r="K1132" i="1" s="1"/>
  <c r="P722" i="1"/>
  <c r="R722" i="1" s="1"/>
  <c r="K1020" i="1"/>
  <c r="P737" i="1"/>
  <c r="R737" i="1" s="1"/>
  <c r="I955" i="1"/>
  <c r="K955" i="1" s="1"/>
  <c r="P753" i="1"/>
  <c r="R753" i="1" s="1"/>
  <c r="K1970" i="1"/>
  <c r="P1970" i="1"/>
  <c r="P432" i="1"/>
  <c r="P451" i="1"/>
  <c r="R451" i="1" s="1"/>
  <c r="P653" i="1"/>
  <c r="R653" i="1" s="1"/>
  <c r="I1751" i="1"/>
  <c r="K1751" i="1" s="1"/>
  <c r="I82" i="1"/>
  <c r="P469" i="1"/>
  <c r="R469" i="1" s="1"/>
  <c r="P641" i="1"/>
  <c r="R641" i="1" s="1"/>
  <c r="I2146" i="1"/>
  <c r="P2153" i="1" s="1"/>
  <c r="R2153" i="1" s="1"/>
  <c r="K137" i="1"/>
  <c r="I83" i="1"/>
  <c r="P577" i="1"/>
  <c r="R577" i="1" s="1"/>
  <c r="I1781" i="1"/>
  <c r="K1781" i="1" s="1"/>
  <c r="P142" i="1"/>
  <c r="R142" i="1" s="1"/>
  <c r="I1971" i="1"/>
  <c r="K1971" i="1" s="1"/>
  <c r="P433" i="1"/>
  <c r="I3662" i="1" s="1"/>
  <c r="I177" i="1"/>
  <c r="K177" i="1" s="1"/>
  <c r="P578" i="1"/>
  <c r="R578" i="1" s="1"/>
  <c r="I2127" i="1"/>
  <c r="K2127" i="1" s="1"/>
  <c r="I169" i="1"/>
  <c r="K169" i="1" s="1"/>
  <c r="P452" i="1"/>
  <c r="R452" i="1" s="1"/>
  <c r="I1758" i="1"/>
  <c r="K1758" i="1" s="1"/>
  <c r="P470" i="1"/>
  <c r="R470" i="1" s="1"/>
  <c r="I84" i="1"/>
  <c r="I2147" i="1"/>
  <c r="K2147" i="1" s="1"/>
  <c r="K284" i="1"/>
  <c r="V716" i="1"/>
  <c r="X716" i="1" s="1"/>
  <c r="I37" i="1"/>
  <c r="K37" i="1" s="1"/>
  <c r="I29" i="1"/>
  <c r="I75" i="1"/>
  <c r="I66" i="1"/>
  <c r="P522" i="1"/>
  <c r="R522" i="1" s="1"/>
  <c r="I1827" i="1"/>
  <c r="K1827" i="1" s="1"/>
  <c r="I608" i="1"/>
  <c r="K608" i="1" s="1"/>
  <c r="I1809" i="1"/>
  <c r="K1809" i="1" s="1"/>
  <c r="P550" i="1"/>
  <c r="R550" i="1" s="1"/>
  <c r="I1845" i="1"/>
  <c r="K1845" i="1" s="1"/>
  <c r="I1180" i="1"/>
  <c r="P795" i="1"/>
  <c r="R795" i="1" s="1"/>
  <c r="R799" i="1" s="1"/>
  <c r="R801" i="1" s="1"/>
  <c r="I2369" i="1"/>
  <c r="K2369" i="1" s="1"/>
  <c r="P891" i="1"/>
  <c r="R891" i="1" s="1"/>
  <c r="I727" i="1"/>
  <c r="K727" i="1" s="1"/>
  <c r="I2322" i="1"/>
  <c r="K2322" i="1" s="1"/>
  <c r="I2031" i="1"/>
  <c r="P2031" i="1" s="1"/>
  <c r="R2031" i="1" s="1"/>
  <c r="I1632" i="1"/>
  <c r="I1973" i="1"/>
  <c r="P1973" i="1" s="1"/>
  <c r="I3122" i="1"/>
  <c r="I1944" i="1"/>
  <c r="I1994" i="1"/>
  <c r="K1994" i="1" s="1"/>
  <c r="I2012" i="1"/>
  <c r="P2013" i="1" s="1"/>
  <c r="I2009" i="1"/>
  <c r="K2009" i="1" s="1"/>
  <c r="I2054" i="1"/>
  <c r="K1565" i="1"/>
  <c r="I1591" i="1"/>
  <c r="K1591" i="1" s="1"/>
  <c r="I1507" i="1"/>
  <c r="I3170" i="1" s="1"/>
  <c r="K3170" i="1" s="1"/>
  <c r="I2719" i="1"/>
  <c r="K2719" i="1" s="1"/>
  <c r="I2713" i="1"/>
  <c r="I1534" i="1"/>
  <c r="P1523" i="1"/>
  <c r="R1523" i="1" s="1"/>
  <c r="I1162" i="1"/>
  <c r="K1162" i="1" s="1"/>
  <c r="I1519" i="1"/>
  <c r="K1519" i="1" s="1"/>
  <c r="P340" i="1"/>
  <c r="R340" i="1" s="1"/>
  <c r="P70" i="1"/>
  <c r="R70" i="1" s="1"/>
  <c r="V713" i="1"/>
  <c r="I450" i="1"/>
  <c r="K450" i="1" s="1"/>
  <c r="I869" i="1"/>
  <c r="V648" i="1"/>
  <c r="I1340" i="1"/>
  <c r="I1308" i="1"/>
  <c r="K1308" i="1" s="1"/>
  <c r="I1396" i="1"/>
  <c r="I1383" i="1"/>
  <c r="K1383" i="1" s="1"/>
  <c r="I1830" i="1"/>
  <c r="K1830" i="1" s="1"/>
  <c r="I1710" i="1"/>
  <c r="K1710" i="1" s="1"/>
  <c r="I2430" i="1"/>
  <c r="I2386" i="1"/>
  <c r="I2715" i="1"/>
  <c r="I276" i="1"/>
  <c r="K276" i="1" s="1"/>
  <c r="P394" i="1"/>
  <c r="I341" i="1"/>
  <c r="K341" i="1" s="1"/>
  <c r="V361" i="1"/>
  <c r="X361" i="1" s="1"/>
  <c r="I385" i="1"/>
  <c r="I215" i="1"/>
  <c r="K215" i="1" s="1"/>
  <c r="I887" i="1"/>
  <c r="K887" i="1" s="1"/>
  <c r="I492" i="1"/>
  <c r="K492" i="1" s="1"/>
  <c r="I903" i="1"/>
  <c r="K903" i="1" s="1"/>
  <c r="I1204" i="1"/>
  <c r="I1361" i="1"/>
  <c r="I1437" i="1"/>
  <c r="K1437" i="1" s="1"/>
  <c r="I1422" i="1"/>
  <c r="I1914" i="1"/>
  <c r="K1914" i="1" s="1"/>
  <c r="I1812" i="1"/>
  <c r="K1812" i="1" s="1"/>
  <c r="I2109" i="1"/>
  <c r="K2109" i="1" s="1"/>
  <c r="I2741" i="1"/>
  <c r="K2741" i="1" s="1"/>
  <c r="I3461" i="1"/>
  <c r="P3467" i="1" s="1"/>
  <c r="R3467" i="1" s="1"/>
  <c r="P380" i="1"/>
  <c r="R380" i="1" s="1"/>
  <c r="P323" i="1"/>
  <c r="R323" i="1" s="1"/>
  <c r="P55" i="1"/>
  <c r="R55" i="1" s="1"/>
  <c r="P367" i="1"/>
  <c r="R367" i="1" s="1"/>
  <c r="I302" i="1"/>
  <c r="K302" i="1" s="1"/>
  <c r="P1148" i="1"/>
  <c r="R1148" i="1" s="1"/>
  <c r="P525" i="1"/>
  <c r="R525" i="1" s="1"/>
  <c r="I509" i="1"/>
  <c r="K509" i="1" s="1"/>
  <c r="I1230" i="1"/>
  <c r="K1230" i="1" s="1"/>
  <c r="I1409" i="1"/>
  <c r="I1521" i="1"/>
  <c r="K1521" i="1" s="1"/>
  <c r="P1525" i="1"/>
  <c r="R1525" i="1" s="1"/>
  <c r="I2029" i="1"/>
  <c r="P2029" i="1" s="1"/>
  <c r="R2029" i="1" s="1"/>
  <c r="I2010" i="1"/>
  <c r="K2010" i="1" s="1"/>
  <c r="I1848" i="1"/>
  <c r="I2688" i="1"/>
  <c r="K2688" i="1" s="1"/>
  <c r="P288" i="1"/>
  <c r="R288" i="1" s="1"/>
  <c r="P85" i="1"/>
  <c r="R85" i="1" s="1"/>
  <c r="I317" i="1"/>
  <c r="AS3107" i="1"/>
  <c r="I415" i="1"/>
  <c r="K415" i="1" s="1"/>
  <c r="I229" i="1"/>
  <c r="I199" i="1"/>
  <c r="P322" i="1"/>
  <c r="R322" i="1" s="1"/>
  <c r="V647" i="1"/>
  <c r="X647" i="1" s="1"/>
  <c r="P524" i="1"/>
  <c r="R524" i="1" s="1"/>
  <c r="I812" i="1"/>
  <c r="K812" i="1" s="1"/>
  <c r="P552" i="1"/>
  <c r="R552" i="1" s="1"/>
  <c r="I867" i="1"/>
  <c r="I3307" i="1" s="1"/>
  <c r="K3307" i="1" s="1"/>
  <c r="I901" i="1"/>
  <c r="K901" i="1" s="1"/>
  <c r="P1524" i="1"/>
  <c r="R1524" i="1" s="1"/>
  <c r="I1229" i="1"/>
  <c r="K1229" i="1" s="1"/>
  <c r="P1361" i="1"/>
  <c r="R1361" i="1" s="1"/>
  <c r="I1307" i="1"/>
  <c r="P1305" i="1" s="1"/>
  <c r="R1305" i="1" s="1"/>
  <c r="I1408" i="1"/>
  <c r="I2032" i="1"/>
  <c r="K2032" i="1" s="1"/>
  <c r="I1481" i="1"/>
  <c r="K1481" i="1" s="1"/>
  <c r="I2166" i="1"/>
  <c r="K2166" i="1" s="1"/>
  <c r="I1996" i="1"/>
  <c r="P1996" i="1" s="1"/>
  <c r="I2792" i="1"/>
  <c r="K2792" i="1" s="1"/>
  <c r="L2758" i="1" s="1"/>
  <c r="I1913" i="1"/>
  <c r="K1913" i="1" s="1"/>
  <c r="I2153" i="1"/>
  <c r="P2160" i="1" s="1"/>
  <c r="R2160" i="1" s="1"/>
  <c r="I2429" i="1"/>
  <c r="P2436" i="1" s="1"/>
  <c r="R2436" i="1" s="1"/>
  <c r="J3046" i="1"/>
  <c r="K3046" i="1" s="1"/>
  <c r="I384" i="1"/>
  <c r="I3810" i="1"/>
  <c r="K3810" i="1" s="1"/>
  <c r="I491" i="1"/>
  <c r="K491" i="1" s="1"/>
  <c r="P393" i="1"/>
  <c r="P84" i="1"/>
  <c r="R84" i="1" s="1"/>
  <c r="P54" i="1"/>
  <c r="R54" i="1" s="1"/>
  <c r="I360" i="1"/>
  <c r="K360" i="1" s="1"/>
  <c r="I301" i="1"/>
  <c r="K301" i="1" s="1"/>
  <c r="P310" i="1"/>
  <c r="R310" i="1" s="1"/>
  <c r="I653" i="1"/>
  <c r="K653" i="1" s="1"/>
  <c r="V712" i="1"/>
  <c r="X712" i="1" s="1"/>
  <c r="Z712" i="1" s="1"/>
  <c r="I885" i="1"/>
  <c r="K885" i="1" s="1"/>
  <c r="I553" i="1"/>
  <c r="K553" i="1" s="1"/>
  <c r="P1147" i="1"/>
  <c r="I1150" i="1"/>
  <c r="K1150" i="1" s="1"/>
  <c r="I1163" i="1"/>
  <c r="K1163" i="1" s="1"/>
  <c r="I1274" i="1"/>
  <c r="I1421" i="1"/>
  <c r="I1520" i="1"/>
  <c r="K1520" i="1" s="1"/>
  <c r="P2338" i="1"/>
  <c r="R2338" i="1" s="1"/>
  <c r="I1847" i="1"/>
  <c r="K1847" i="1" s="1"/>
  <c r="I2336" i="1"/>
  <c r="K2336" i="1" s="1"/>
  <c r="I2108" i="1"/>
  <c r="K2108" i="1" s="1"/>
  <c r="I1648" i="1"/>
  <c r="I1975" i="1"/>
  <c r="K1975" i="1" s="1"/>
  <c r="I2179" i="1"/>
  <c r="K2179" i="1" s="1"/>
  <c r="I2714" i="1"/>
  <c r="I3460" i="1"/>
  <c r="I3827" i="1" s="1"/>
  <c r="K3827" i="1" s="1"/>
  <c r="I316" i="1"/>
  <c r="V480" i="1"/>
  <c r="AB480" i="1" s="1"/>
  <c r="AD480" i="1" s="1"/>
  <c r="P299" i="1"/>
  <c r="R299" i="1" s="1"/>
  <c r="I214" i="1"/>
  <c r="K214" i="1" s="1"/>
  <c r="I728" i="1"/>
  <c r="K728" i="1" s="1"/>
  <c r="I764" i="1"/>
  <c r="K764" i="1" s="1"/>
  <c r="P892" i="1"/>
  <c r="R892" i="1" s="1"/>
  <c r="I585" i="1"/>
  <c r="K585" i="1" s="1"/>
  <c r="I508" i="1"/>
  <c r="I1254" i="1"/>
  <c r="I1203" i="1"/>
  <c r="I1339" i="1"/>
  <c r="I1456" i="1"/>
  <c r="K1456" i="1" s="1"/>
  <c r="I1360" i="1"/>
  <c r="I2350" i="1"/>
  <c r="I2013" i="1"/>
  <c r="P2014" i="1" s="1"/>
  <c r="I1829" i="1"/>
  <c r="K1829" i="1" s="1"/>
  <c r="I2400" i="1"/>
  <c r="I1709" i="1"/>
  <c r="K1709" i="1" s="1"/>
  <c r="I2080" i="1"/>
  <c r="I2323" i="1"/>
  <c r="K2323" i="1" s="1"/>
  <c r="I2995" i="1"/>
  <c r="K2995" i="1" s="1"/>
  <c r="P379" i="1"/>
  <c r="R379" i="1" s="1"/>
  <c r="P339" i="1"/>
  <c r="R339" i="1" s="1"/>
  <c r="I275" i="1"/>
  <c r="K275" i="1" s="1"/>
  <c r="P83" i="1"/>
  <c r="R83" i="1" s="1"/>
  <c r="I383" i="1"/>
  <c r="I507" i="1"/>
  <c r="I2901" i="1" s="1"/>
  <c r="K2901" i="1" s="1"/>
  <c r="I1338" i="1"/>
  <c r="I1253" i="1"/>
  <c r="I2079" i="1"/>
  <c r="I2428" i="1"/>
  <c r="P2435" i="1" s="1"/>
  <c r="R2435" i="1" s="1"/>
  <c r="I2994" i="1"/>
  <c r="K2994" i="1" s="1"/>
  <c r="I414" i="1"/>
  <c r="K414" i="1" s="1"/>
  <c r="I359" i="1"/>
  <c r="V359" i="1" s="1"/>
  <c r="I274" i="1"/>
  <c r="K274" i="1" s="1"/>
  <c r="P68" i="1"/>
  <c r="R68" i="1" s="1"/>
  <c r="I300" i="1"/>
  <c r="K300" i="1" s="1"/>
  <c r="P53" i="1"/>
  <c r="R53" i="1" s="1"/>
  <c r="P392" i="1"/>
  <c r="V646" i="1"/>
  <c r="X646" i="1" s="1"/>
  <c r="I1381" i="1"/>
  <c r="K1381" i="1" s="1"/>
  <c r="I1258" i="1"/>
  <c r="I2335" i="1"/>
  <c r="K2335" i="1" s="1"/>
  <c r="I1995" i="1"/>
  <c r="P1995" i="1" s="1"/>
  <c r="I3459" i="1"/>
  <c r="K3459" i="1" s="1"/>
  <c r="I198" i="1"/>
  <c r="P166" i="1" s="1"/>
  <c r="R166" i="1" s="1"/>
  <c r="P378" i="1"/>
  <c r="R378" i="1" s="1"/>
  <c r="I811" i="1"/>
  <c r="V805" i="1" s="1"/>
  <c r="X805" i="1" s="1"/>
  <c r="P1146" i="1"/>
  <c r="I1224" i="1"/>
  <c r="K1224" i="1" s="1"/>
  <c r="I1359" i="1"/>
  <c r="I1974" i="1"/>
  <c r="P286" i="1"/>
  <c r="R286" i="1" s="1"/>
  <c r="I228" i="1"/>
  <c r="I1354" i="1"/>
  <c r="C68" i="1"/>
  <c r="P3468" i="1"/>
  <c r="R3468" i="1" s="1"/>
  <c r="I3829" i="1"/>
  <c r="K3829" i="1" s="1"/>
  <c r="K3462" i="1"/>
  <c r="I18" i="1"/>
  <c r="P1380" i="1"/>
  <c r="R1380" i="1" s="1"/>
  <c r="I2297" i="1"/>
  <c r="K2297" i="1" s="1"/>
  <c r="AB1387" i="1"/>
  <c r="AD1387" i="1" s="1"/>
  <c r="AD1370" i="1"/>
  <c r="I3531" i="1"/>
  <c r="R3404" i="1"/>
  <c r="P1464" i="1"/>
  <c r="R1447" i="1"/>
  <c r="X1404" i="1"/>
  <c r="AB1402" i="1"/>
  <c r="V1403" i="1"/>
  <c r="X1387" i="1"/>
  <c r="I989" i="11"/>
  <c r="K989" i="11" s="1"/>
  <c r="K1536" i="1"/>
  <c r="K1409" i="1"/>
  <c r="K1408" i="1"/>
  <c r="K3797" i="27"/>
  <c r="P3497" i="27"/>
  <c r="R3497" i="27" s="1"/>
  <c r="I3535" i="27"/>
  <c r="K3535" i="27" s="1"/>
  <c r="K18" i="1"/>
  <c r="R392" i="1"/>
  <c r="R1996" i="1"/>
  <c r="K230" i="1"/>
  <c r="K2078" i="1"/>
  <c r="K3801" i="27"/>
  <c r="I3708" i="27"/>
  <c r="K3708" i="27" s="1"/>
  <c r="K448" i="11"/>
  <c r="I1085" i="11"/>
  <c r="K1085" i="11" s="1"/>
  <c r="I901" i="11"/>
  <c r="K143" i="11"/>
  <c r="K141" i="11"/>
  <c r="Z12" i="27"/>
  <c r="I19" i="27"/>
  <c r="K19" i="27" s="1"/>
  <c r="K23" i="27" s="1"/>
  <c r="I271" i="27"/>
  <c r="K271" i="27" s="1"/>
  <c r="I45" i="27"/>
  <c r="K45" i="27" s="1"/>
  <c r="I976" i="27"/>
  <c r="K976" i="27" s="1"/>
  <c r="K4008" i="1"/>
  <c r="K36" i="25" s="1"/>
  <c r="I1305" i="1"/>
  <c r="K1305" i="1" s="1"/>
  <c r="X3544" i="1"/>
  <c r="D45" i="50"/>
  <c r="P1416" i="1"/>
  <c r="V1377" i="1" s="1"/>
  <c r="P3529" i="1"/>
  <c r="R3529" i="1" s="1"/>
  <c r="R1427" i="1"/>
  <c r="I3058" i="1"/>
  <c r="K3058" i="1" s="1"/>
  <c r="X1370" i="1"/>
  <c r="AE3544" i="1"/>
  <c r="X3555" i="1"/>
  <c r="R393" i="1"/>
  <c r="P200" i="1"/>
  <c r="K2713" i="1"/>
  <c r="V1284" i="1"/>
  <c r="X1284" i="1" s="1"/>
  <c r="K1260" i="1"/>
  <c r="K1359" i="1"/>
  <c r="AB1267" i="1"/>
  <c r="AD1267" i="1" s="1"/>
  <c r="K1421" i="1"/>
  <c r="V384" i="1"/>
  <c r="V415" i="1" s="1"/>
  <c r="X415" i="1" s="1"/>
  <c r="P234" i="1"/>
  <c r="R234" i="1" s="1"/>
  <c r="K20" i="1"/>
  <c r="F547" i="25"/>
  <c r="D584" i="25"/>
  <c r="D619" i="25" s="1"/>
  <c r="I3686" i="27"/>
  <c r="K3686" i="27" s="1"/>
  <c r="I2998" i="27"/>
  <c r="K2998" i="27" s="1"/>
  <c r="I3368" i="27"/>
  <c r="K3335" i="27"/>
  <c r="I3330" i="27" s="1"/>
  <c r="K3330" i="27" s="1"/>
  <c r="K920" i="27"/>
  <c r="I2564" i="27"/>
  <c r="K2564" i="27" s="1"/>
  <c r="P600" i="27"/>
  <c r="R600" i="27" s="1"/>
  <c r="I2068" i="27"/>
  <c r="K2068" i="27" s="1"/>
  <c r="I82" i="27"/>
  <c r="K82" i="27" s="1"/>
  <c r="I1711" i="27"/>
  <c r="K1711" i="27" s="1"/>
  <c r="I1891" i="27"/>
  <c r="K1891" i="27" s="1"/>
  <c r="I81" i="27"/>
  <c r="K81" i="27" s="1"/>
  <c r="I110" i="27"/>
  <c r="K110" i="27" s="1"/>
  <c r="D287" i="64"/>
  <c r="F221" i="64"/>
  <c r="I2261" i="27"/>
  <c r="K1037" i="27"/>
  <c r="K1039" i="27" s="1"/>
  <c r="P635" i="27"/>
  <c r="R635" i="27" s="1"/>
  <c r="I223" i="11"/>
  <c r="P2858" i="27"/>
  <c r="R2858" i="27" s="1"/>
  <c r="R391" i="1"/>
  <c r="Z35" i="27"/>
  <c r="AC35" i="27" s="1"/>
  <c r="I253" i="27" s="1"/>
  <c r="K253" i="27" s="1"/>
  <c r="K258" i="27" s="1"/>
  <c r="K260" i="27" s="1"/>
  <c r="P3405" i="1"/>
  <c r="I37" i="25"/>
  <c r="I3080" i="1"/>
  <c r="K3080" i="1" s="1"/>
  <c r="I2426" i="1"/>
  <c r="P2433" i="1" s="1"/>
  <c r="R2433" i="1" s="1"/>
  <c r="P948" i="1"/>
  <c r="R948" i="1" s="1"/>
  <c r="V734" i="1"/>
  <c r="X734" i="1" s="1"/>
  <c r="V899" i="1"/>
  <c r="X899" i="1" s="1"/>
  <c r="I2508" i="1"/>
  <c r="P2515" i="1" s="1"/>
  <c r="P1467" i="1"/>
  <c r="P3369" i="1"/>
  <c r="R3369" i="1" s="1"/>
  <c r="P3548" i="1"/>
  <c r="R3548" i="1" s="1"/>
  <c r="R2007" i="1"/>
  <c r="R1073" i="1"/>
  <c r="K385" i="1"/>
  <c r="K315" i="1"/>
  <c r="K56" i="1"/>
  <c r="K1534" i="1"/>
  <c r="K75" i="1"/>
  <c r="K1340" i="1"/>
  <c r="K1396" i="1"/>
  <c r="I2721" i="1"/>
  <c r="K2721" i="1" s="1"/>
  <c r="K2055" i="1"/>
  <c r="K1254" i="1"/>
  <c r="K1203" i="1"/>
  <c r="K1339" i="1"/>
  <c r="K1360" i="1"/>
  <c r="R2014" i="1"/>
  <c r="K2080" i="1"/>
  <c r="R2013" i="1"/>
  <c r="I3007" i="27"/>
  <c r="K3007" i="27" s="1"/>
  <c r="I2908" i="27"/>
  <c r="I3799" i="27"/>
  <c r="K2846" i="27"/>
  <c r="K1085" i="27"/>
  <c r="I2262" i="27"/>
  <c r="I167" i="27"/>
  <c r="C164" i="27" s="1"/>
  <c r="I2049" i="27"/>
  <c r="K2049" i="27" s="1"/>
  <c r="P554" i="27"/>
  <c r="R554" i="27" s="1"/>
  <c r="I1892" i="27"/>
  <c r="K1892" i="27" s="1"/>
  <c r="I1976" i="27"/>
  <c r="K1976" i="27" s="1"/>
  <c r="I1865" i="27"/>
  <c r="K1865" i="27" s="1"/>
  <c r="I1934" i="27"/>
  <c r="K1934" i="27" s="1"/>
  <c r="I1953" i="27"/>
  <c r="K1953" i="27" s="1"/>
  <c r="I1449" i="27"/>
  <c r="K1449" i="27" s="1"/>
  <c r="I1464" i="27"/>
  <c r="K1464" i="27" s="1"/>
  <c r="V1287" i="1"/>
  <c r="X1287" i="1" s="1"/>
  <c r="R394" i="1"/>
  <c r="K3806" i="27"/>
  <c r="K3354" i="27"/>
  <c r="I3587" i="27"/>
  <c r="K3587" i="27" s="1"/>
  <c r="C139" i="27"/>
  <c r="C137" i="27"/>
  <c r="AC29" i="27"/>
  <c r="C91" i="27" s="1"/>
  <c r="K1066" i="27"/>
  <c r="K1068" i="27" s="1"/>
  <c r="K449" i="11"/>
  <c r="R676" i="11"/>
  <c r="R667" i="11" s="1"/>
  <c r="K304" i="11"/>
  <c r="K2270" i="1" s="1"/>
  <c r="C424" i="55" s="1"/>
  <c r="P1444" i="1"/>
  <c r="R1444" i="1" s="1"/>
  <c r="R3269" i="1"/>
  <c r="I1784" i="1"/>
  <c r="K1784" i="1" s="1"/>
  <c r="K3226" i="1"/>
  <c r="L3192" i="1" s="1"/>
  <c r="K2776" i="1"/>
  <c r="K2779" i="1" s="1"/>
  <c r="C718" i="55" s="1"/>
  <c r="V383" i="1"/>
  <c r="P167" i="1"/>
  <c r="R167" i="1" s="1"/>
  <c r="K66" i="1"/>
  <c r="K1204" i="1"/>
  <c r="K1361" i="1"/>
  <c r="K1422" i="1"/>
  <c r="K1338" i="1"/>
  <c r="V1282" i="1"/>
  <c r="X1282" i="1" s="1"/>
  <c r="K2079" i="1"/>
  <c r="K1259" i="1"/>
  <c r="K1395" i="1"/>
  <c r="K2056" i="1"/>
  <c r="K317" i="1"/>
  <c r="K29" i="1"/>
  <c r="K2054" i="1"/>
  <c r="K142" i="1"/>
  <c r="I3810" i="27"/>
  <c r="K3222" i="27"/>
  <c r="I3218" i="27" s="1"/>
  <c r="K3218" i="27" s="1"/>
  <c r="I3921" i="27"/>
  <c r="K3921" i="27" s="1"/>
  <c r="P2871" i="27"/>
  <c r="R2871" i="27" s="1"/>
  <c r="I3825" i="27"/>
  <c r="K3825" i="27" s="1"/>
  <c r="I3158" i="27"/>
  <c r="I3247" i="27"/>
  <c r="P2852" i="27"/>
  <c r="K2852" i="27"/>
  <c r="K2892" i="27" s="1"/>
  <c r="K3850" i="27" s="1"/>
  <c r="I2909" i="27"/>
  <c r="I2931" i="27"/>
  <c r="I3725" i="27"/>
  <c r="K3725" i="27" s="1"/>
  <c r="I2995" i="27"/>
  <c r="K2995" i="27" s="1"/>
  <c r="I3795" i="27"/>
  <c r="K1019" i="27"/>
  <c r="I2530" i="27"/>
  <c r="K2530" i="27" s="1"/>
  <c r="K1015" i="27"/>
  <c r="I2526" i="27"/>
  <c r="K2526" i="27" s="1"/>
  <c r="I880" i="27"/>
  <c r="K880" i="27" s="1"/>
  <c r="K883" i="27" s="1"/>
  <c r="I887" i="27"/>
  <c r="K887" i="27" s="1"/>
  <c r="K890" i="27" s="1"/>
  <c r="K3803" i="27"/>
  <c r="K3837" i="27" s="1"/>
  <c r="K3910" i="27"/>
  <c r="F150" i="50"/>
  <c r="K3796" i="27"/>
  <c r="K2745" i="27"/>
  <c r="I2563" i="27"/>
  <c r="I1777" i="27"/>
  <c r="K1777" i="27" s="1"/>
  <c r="I1741" i="27"/>
  <c r="K1741" i="27" s="1"/>
  <c r="I1639" i="27"/>
  <c r="K1639" i="27" s="1"/>
  <c r="I1046" i="27"/>
  <c r="K1046" i="27" s="1"/>
  <c r="K1052" i="27" s="1"/>
  <c r="K1054" i="27" s="1"/>
  <c r="I482" i="27"/>
  <c r="K482" i="27" s="1"/>
  <c r="I413" i="27"/>
  <c r="K413" i="27" s="1"/>
  <c r="P320" i="27"/>
  <c r="R320" i="27" s="1"/>
  <c r="F272" i="25"/>
  <c r="D256" i="25" s="1"/>
  <c r="F256" i="25" s="1"/>
  <c r="K3802" i="27"/>
  <c r="K2748" i="27"/>
  <c r="K3893" i="27"/>
  <c r="K2810" i="27"/>
  <c r="K2811" i="27" s="1"/>
  <c r="K2802" i="27" s="1"/>
  <c r="I2789" i="27"/>
  <c r="K2789" i="27" s="1"/>
  <c r="I2531" i="27"/>
  <c r="K2531" i="27" s="1"/>
  <c r="K2427" i="27"/>
  <c r="I1917" i="27"/>
  <c r="K1917" i="27" s="1"/>
  <c r="I1866" i="27"/>
  <c r="K1866" i="27" s="1"/>
  <c r="I1835" i="27"/>
  <c r="K1835" i="27" s="1"/>
  <c r="I1759" i="27"/>
  <c r="K1759" i="27" s="1"/>
  <c r="I1451" i="27"/>
  <c r="K1451" i="27" s="1"/>
  <c r="I1439" i="27"/>
  <c r="K1439" i="27" s="1"/>
  <c r="I1367" i="27"/>
  <c r="K1367" i="27" s="1"/>
  <c r="I1314" i="27"/>
  <c r="K1314" i="27" s="1"/>
  <c r="I1158" i="27"/>
  <c r="K1158" i="27" s="1"/>
  <c r="I860" i="27"/>
  <c r="K860" i="27" s="1"/>
  <c r="P856" i="27"/>
  <c r="R856" i="27" s="1"/>
  <c r="I843" i="27"/>
  <c r="K843" i="27" s="1"/>
  <c r="I775" i="27"/>
  <c r="K775" i="27" s="1"/>
  <c r="I536" i="27"/>
  <c r="K536" i="27" s="1"/>
  <c r="P515" i="27"/>
  <c r="R515" i="27" s="1"/>
  <c r="P498" i="27"/>
  <c r="R498" i="27" s="1"/>
  <c r="I448" i="27"/>
  <c r="K448" i="27" s="1"/>
  <c r="I359" i="27"/>
  <c r="K359" i="27" s="1"/>
  <c r="I338" i="27"/>
  <c r="K338" i="27" s="1"/>
  <c r="I314" i="27"/>
  <c r="K314" i="27" s="1"/>
  <c r="G473" i="25"/>
  <c r="A484" i="25" s="1"/>
  <c r="G484" i="25" s="1"/>
  <c r="D162" i="25"/>
  <c r="F162" i="25" s="1"/>
  <c r="K1270" i="1"/>
  <c r="R1069" i="1"/>
  <c r="K1271" i="1"/>
  <c r="R1631" i="1"/>
  <c r="K2053" i="1"/>
  <c r="K2074" i="1"/>
  <c r="I833" i="11"/>
  <c r="K833" i="11" s="1"/>
  <c r="K927" i="11"/>
  <c r="I897" i="1"/>
  <c r="K897" i="1" s="1"/>
  <c r="P1051" i="1"/>
  <c r="R1051" i="1" s="1"/>
  <c r="K1063" i="1"/>
  <c r="C352" i="55"/>
  <c r="D59" i="79" s="1"/>
  <c r="F59" i="79" s="1"/>
  <c r="K1533" i="1"/>
  <c r="K2075" i="1"/>
  <c r="I2540" i="1"/>
  <c r="Z2606" i="1"/>
  <c r="AE2642" i="1"/>
  <c r="AB2651" i="1" s="1"/>
  <c r="AE2647" i="1"/>
  <c r="AB2652" i="1" s="1"/>
  <c r="K2712" i="1"/>
  <c r="P3564" i="1"/>
  <c r="R3564" i="1" s="1"/>
  <c r="K155" i="11"/>
  <c r="F412" i="64"/>
  <c r="K1249" i="1"/>
  <c r="R1067" i="1"/>
  <c r="R1071" i="1"/>
  <c r="K1357" i="1"/>
  <c r="K1535" i="1"/>
  <c r="K1888" i="1"/>
  <c r="R1987" i="1"/>
  <c r="K2076" i="1"/>
  <c r="K2470" i="1"/>
  <c r="K2472" i="1" s="1"/>
  <c r="K2474" i="1" s="1"/>
  <c r="C840" i="55" s="1"/>
  <c r="P376" i="11"/>
  <c r="R376" i="11" s="1"/>
  <c r="K633" i="11"/>
  <c r="K881" i="1"/>
  <c r="P952" i="1"/>
  <c r="R952" i="1" s="1"/>
  <c r="AE1067" i="1"/>
  <c r="AG1067" i="1" s="1"/>
  <c r="P1242" i="1"/>
  <c r="R1242" i="1" s="1"/>
  <c r="P1539" i="1"/>
  <c r="R1539" i="1" s="1"/>
  <c r="R1633" i="1"/>
  <c r="I1880" i="1"/>
  <c r="K2050" i="1"/>
  <c r="K2052" i="1"/>
  <c r="K2077" i="1"/>
  <c r="K2117" i="1"/>
  <c r="K2120" i="1" s="1"/>
  <c r="C401" i="55" s="1"/>
  <c r="I2538" i="1"/>
  <c r="P2511" i="1"/>
  <c r="M2515" i="1" s="1"/>
  <c r="K3586" i="1"/>
  <c r="K3587" i="1" s="1"/>
  <c r="K400" i="11"/>
  <c r="K443" i="11"/>
  <c r="K634" i="11"/>
  <c r="W35" i="1"/>
  <c r="W36" i="1"/>
  <c r="W43" i="1"/>
  <c r="W44" i="1" s="1"/>
  <c r="W37" i="1"/>
  <c r="W46" i="1" s="1"/>
  <c r="W47" i="1" s="1"/>
  <c r="V683" i="1"/>
  <c r="X683" i="1" s="1"/>
  <c r="K2013" i="1"/>
  <c r="P1994" i="1"/>
  <c r="K869" i="1"/>
  <c r="I1589" i="1"/>
  <c r="K1589" i="1" s="1"/>
  <c r="P1306" i="1"/>
  <c r="R1306" i="1" s="1"/>
  <c r="V585" i="1"/>
  <c r="X585" i="1" s="1"/>
  <c r="V315" i="1"/>
  <c r="AQ67" i="1" s="1"/>
  <c r="AQ91" i="1" s="1"/>
  <c r="AQ111" i="1" s="1"/>
  <c r="AQ136" i="1" s="1"/>
  <c r="P601" i="27"/>
  <c r="R601" i="27" s="1"/>
  <c r="R612" i="27" s="1"/>
  <c r="I1893" i="27"/>
  <c r="K1893" i="27" s="1"/>
  <c r="K1899" i="27" s="1"/>
  <c r="I2028" i="27"/>
  <c r="K2028" i="27" s="1"/>
  <c r="K2034" i="27" s="1"/>
  <c r="I1913" i="27"/>
  <c r="K1913" i="27" s="1"/>
  <c r="P574" i="27"/>
  <c r="R574" i="27" s="1"/>
  <c r="P588" i="27"/>
  <c r="R588" i="27" s="1"/>
  <c r="I2974" i="1"/>
  <c r="K2838" i="1"/>
  <c r="P1451" i="1"/>
  <c r="R1435" i="1"/>
  <c r="P1452" i="1"/>
  <c r="R1436" i="1"/>
  <c r="M716" i="11"/>
  <c r="C1447" i="55"/>
  <c r="C1483" i="55"/>
  <c r="R1443" i="1"/>
  <c r="P1460" i="1"/>
  <c r="P9" i="27"/>
  <c r="R9" i="27" s="1"/>
  <c r="R14" i="27" s="1"/>
  <c r="P23" i="27"/>
  <c r="R23" i="27" s="1"/>
  <c r="I1254" i="27"/>
  <c r="K1254" i="27" s="1"/>
  <c r="V3576" i="1"/>
  <c r="X3560" i="1"/>
  <c r="K1007" i="11"/>
  <c r="I124" i="11"/>
  <c r="K450" i="11"/>
  <c r="K451" i="11" s="1"/>
  <c r="I228" i="11"/>
  <c r="K228" i="11" s="1"/>
  <c r="I4011" i="1"/>
  <c r="P1540" i="1" s="1"/>
  <c r="R1540" i="1" s="1"/>
  <c r="K2508" i="1"/>
  <c r="I64" i="1"/>
  <c r="I1227" i="1"/>
  <c r="V766" i="1"/>
  <c r="X766" i="1" s="1"/>
  <c r="V385" i="1"/>
  <c r="V416" i="1" s="1"/>
  <c r="X416" i="1" s="1"/>
  <c r="K1057" i="1"/>
  <c r="I2939" i="27"/>
  <c r="K3497" i="27"/>
  <c r="K2736" i="27"/>
  <c r="I46" i="27"/>
  <c r="K46" i="27" s="1"/>
  <c r="G447" i="25"/>
  <c r="E437" i="25" s="1"/>
  <c r="G437" i="25" s="1"/>
  <c r="V2599" i="1"/>
  <c r="S2604" i="1" s="1"/>
  <c r="X2604" i="1" s="1"/>
  <c r="K82" i="11"/>
  <c r="V3524" i="1"/>
  <c r="X3524" i="1" s="1"/>
  <c r="X3684" i="1"/>
  <c r="K3344" i="1"/>
  <c r="I3443" i="1"/>
  <c r="K3443" i="1" s="1"/>
  <c r="F23" i="25"/>
  <c r="I3036" i="27"/>
  <c r="K3036" i="27" s="1"/>
  <c r="AG43" i="1"/>
  <c r="I899" i="1"/>
  <c r="K899" i="1" s="1"/>
  <c r="K1683" i="1"/>
  <c r="C365" i="55" s="1"/>
  <c r="R3267" i="1"/>
  <c r="J3856" i="1"/>
  <c r="K120" i="11"/>
  <c r="D552" i="25"/>
  <c r="F552" i="25" s="1"/>
  <c r="K3061" i="1"/>
  <c r="I44" i="1"/>
  <c r="I1646" i="1"/>
  <c r="K1646" i="1" s="1"/>
  <c r="AE1066" i="1"/>
  <c r="AG1066" i="1" s="1"/>
  <c r="I2915" i="27"/>
  <c r="K2915" i="27" s="1"/>
  <c r="K3496" i="27"/>
  <c r="P25" i="27"/>
  <c r="R25" i="27" s="1"/>
  <c r="D111" i="25"/>
  <c r="C21" i="1"/>
  <c r="AF451" i="1" s="1"/>
  <c r="AF452" i="1" s="1"/>
  <c r="AF453" i="1" s="1"/>
  <c r="AF454" i="1" s="1"/>
  <c r="AF455" i="1" s="1"/>
  <c r="AF456" i="1" s="1"/>
  <c r="AF457" i="1" s="1"/>
  <c r="AF458" i="1" s="1"/>
  <c r="AF459" i="1" s="1"/>
  <c r="AF460" i="1" s="1"/>
  <c r="AF461" i="1" s="1"/>
  <c r="AF462" i="1" s="1"/>
  <c r="AF463" i="1" s="1"/>
  <c r="AF464" i="1" s="1"/>
  <c r="P2648" i="1"/>
  <c r="R2648" i="1" s="1"/>
  <c r="X2792" i="1"/>
  <c r="P3158" i="1"/>
  <c r="R3158" i="1" s="1"/>
  <c r="K835" i="11"/>
  <c r="P430" i="27"/>
  <c r="R430" i="27" s="1"/>
  <c r="U20" i="4"/>
  <c r="AR11" i="64"/>
  <c r="AR12" i="64" s="1"/>
  <c r="AR13" i="64" s="1"/>
  <c r="AS13" i="64" s="1"/>
  <c r="AG46" i="1"/>
  <c r="K74" i="11"/>
  <c r="O730" i="11"/>
  <c r="P54" i="11"/>
  <c r="R54" i="11" s="1"/>
  <c r="I106" i="11"/>
  <c r="I1082" i="11"/>
  <c r="K1082" i="11" s="1"/>
  <c r="P1495" i="1"/>
  <c r="I1094" i="1"/>
  <c r="I73" i="1"/>
  <c r="I1562" i="1"/>
  <c r="V1283" i="1"/>
  <c r="X1283" i="1" s="1"/>
  <c r="V1413" i="1"/>
  <c r="K2012" i="1"/>
  <c r="I3542" i="1"/>
  <c r="AE3542" i="1" s="1"/>
  <c r="X880" i="1"/>
  <c r="K3342" i="1"/>
  <c r="I3441" i="1"/>
  <c r="K3441" i="1" s="1"/>
  <c r="K3343" i="1"/>
  <c r="I3442" i="1"/>
  <c r="K3442" i="1" s="1"/>
  <c r="K3515" i="27"/>
  <c r="P2061" i="1"/>
  <c r="I4039" i="1"/>
  <c r="K4039" i="1" s="1"/>
  <c r="I1073" i="11"/>
  <c r="K1073" i="11" s="1"/>
  <c r="I201" i="11"/>
  <c r="K201" i="11" s="1"/>
  <c r="P3713" i="1"/>
  <c r="R3713" i="1" s="1"/>
  <c r="F662" i="25"/>
  <c r="V3541" i="1"/>
  <c r="P1075" i="1"/>
  <c r="I272" i="1"/>
  <c r="K272" i="1" s="1"/>
  <c r="AH3107" i="1"/>
  <c r="K339" i="1"/>
  <c r="AB1368" i="1"/>
  <c r="P3530" i="1"/>
  <c r="R3530" i="1" s="1"/>
  <c r="R2079" i="1"/>
  <c r="K1021" i="1"/>
  <c r="P1074" i="1"/>
  <c r="K130" i="11"/>
  <c r="P2297" i="1"/>
  <c r="R2297" i="1" s="1"/>
  <c r="K3541" i="1"/>
  <c r="X1360" i="1"/>
  <c r="I809" i="1"/>
  <c r="V644" i="1" s="1"/>
  <c r="I3988" i="1"/>
  <c r="AE3562" i="1"/>
  <c r="P991" i="1"/>
  <c r="R991" i="1" s="1"/>
  <c r="P3397" i="1"/>
  <c r="R3397" i="1" s="1"/>
  <c r="K3540" i="1"/>
  <c r="F264" i="25"/>
  <c r="F265" i="25" s="1"/>
  <c r="K2260" i="27"/>
  <c r="R2854" i="27"/>
  <c r="K419" i="11"/>
  <c r="K420" i="11" s="1"/>
  <c r="K412" i="11" s="1"/>
  <c r="V3610" i="1"/>
  <c r="X3610" i="1" s="1"/>
  <c r="P1461" i="1"/>
  <c r="R1461" i="1" s="1"/>
  <c r="AE3541" i="1"/>
  <c r="AB1358" i="1"/>
  <c r="I27" i="1"/>
  <c r="X3571" i="1"/>
  <c r="K3353" i="27"/>
  <c r="P467" i="27"/>
  <c r="R467" i="27" s="1"/>
  <c r="Q4" i="4"/>
  <c r="Q5" i="4" s="1"/>
  <c r="Q6" i="4" s="1"/>
  <c r="P1072" i="1"/>
  <c r="K936" i="11"/>
  <c r="K1307" i="1"/>
  <c r="K1973" i="1"/>
  <c r="P2011" i="1"/>
  <c r="P2161" i="1"/>
  <c r="R2161" i="1" s="1"/>
  <c r="K2152" i="1"/>
  <c r="K2303" i="1"/>
  <c r="K2305" i="1" s="1"/>
  <c r="C441" i="55" s="1"/>
  <c r="K2031" i="1"/>
  <c r="K228" i="1"/>
  <c r="V341" i="1"/>
  <c r="X341" i="1" s="1"/>
  <c r="AD647" i="1"/>
  <c r="AF647" i="1" s="1"/>
  <c r="P2299" i="1"/>
  <c r="R2299" i="1" s="1"/>
  <c r="C1504" i="55"/>
  <c r="K2667" i="1"/>
  <c r="K1507" i="1"/>
  <c r="K2429" i="1"/>
  <c r="AB1336" i="1"/>
  <c r="AC1336" i="1" s="1"/>
  <c r="P1975" i="1"/>
  <c r="P2674" i="1"/>
  <c r="R1403" i="1"/>
  <c r="P2032" i="1"/>
  <c r="R2032" i="1" s="1"/>
  <c r="P2028" i="1"/>
  <c r="R2028" i="1" s="1"/>
  <c r="P1863" i="1"/>
  <c r="R1863" i="1" s="1"/>
  <c r="X84" i="1"/>
  <c r="P1861" i="1"/>
  <c r="K507" i="1"/>
  <c r="I3368" i="1"/>
  <c r="K3368" i="1" s="1"/>
  <c r="V2605" i="1"/>
  <c r="Z2603" i="1" s="1"/>
  <c r="I3424" i="1"/>
  <c r="K3424" i="1" s="1"/>
  <c r="P1605" i="1"/>
  <c r="I3272" i="1"/>
  <c r="K3272" i="1" s="1"/>
  <c r="K2153" i="1"/>
  <c r="P860" i="1"/>
  <c r="R860" i="1" s="1"/>
  <c r="P2154" i="1"/>
  <c r="R2154" i="1" s="1"/>
  <c r="K2428" i="1"/>
  <c r="I3466" i="1"/>
  <c r="P3472" i="1" s="1"/>
  <c r="R3472" i="1" s="1"/>
  <c r="K199" i="1"/>
  <c r="K383" i="1"/>
  <c r="K3461" i="1"/>
  <c r="V1304" i="1"/>
  <c r="X1304" i="1" s="1"/>
  <c r="K3173" i="1"/>
  <c r="V686" i="1"/>
  <c r="P1420" i="1"/>
  <c r="P1437" i="1" s="1"/>
  <c r="R1437" i="1" s="1"/>
  <c r="P236" i="1"/>
  <c r="R236" i="1" s="1"/>
  <c r="K1996" i="1"/>
  <c r="K1253" i="1"/>
  <c r="V887" i="1"/>
  <c r="V903" i="1" s="1"/>
  <c r="X903" i="1" s="1"/>
  <c r="AB1362" i="1"/>
  <c r="AD1362" i="1" s="1"/>
  <c r="X1364" i="1"/>
  <c r="X383" i="1"/>
  <c r="V414" i="1"/>
  <c r="X414" i="1" s="1"/>
  <c r="AE392" i="1"/>
  <c r="AG392" i="1" s="1"/>
  <c r="K1616" i="1"/>
  <c r="P1617" i="1"/>
  <c r="R1617" i="1" s="1"/>
  <c r="X384" i="1"/>
  <c r="K2637" i="1"/>
  <c r="K384" i="1"/>
  <c r="I3828" i="1"/>
  <c r="K3828" i="1" s="1"/>
  <c r="K1604" i="1"/>
  <c r="F49" i="25"/>
  <c r="P3544" i="1"/>
  <c r="R3544" i="1" s="1"/>
  <c r="K813" i="1"/>
  <c r="P3466" i="1"/>
  <c r="R3466" i="1" s="1"/>
  <c r="I203" i="11"/>
  <c r="K203" i="11" s="1"/>
  <c r="K80" i="11"/>
  <c r="I495" i="27"/>
  <c r="K495" i="27" s="1"/>
  <c r="K503" i="27" s="1"/>
  <c r="K505" i="27" s="1"/>
  <c r="I1235" i="27"/>
  <c r="K1235" i="27" s="1"/>
  <c r="K1242" i="27" s="1"/>
  <c r="K1244" i="27" s="1"/>
  <c r="C729" i="55"/>
  <c r="I899" i="11"/>
  <c r="K792" i="11"/>
  <c r="P793" i="11"/>
  <c r="AB1419" i="1"/>
  <c r="AD1419" i="1" s="1"/>
  <c r="AD1402" i="1"/>
  <c r="K901" i="11"/>
  <c r="I917" i="11"/>
  <c r="K917" i="11" s="1"/>
  <c r="I1109" i="11"/>
  <c r="D429" i="81" s="1"/>
  <c r="K912" i="27"/>
  <c r="I2556" i="27"/>
  <c r="V1422" i="1"/>
  <c r="X1422" i="1" s="1"/>
  <c r="P1492" i="1"/>
  <c r="K2261" i="27"/>
  <c r="I2663" i="27"/>
  <c r="K2663" i="27" s="1"/>
  <c r="I142" i="11"/>
  <c r="I1083" i="11"/>
  <c r="K1083" i="11" s="1"/>
  <c r="K121" i="11"/>
  <c r="V3521" i="1"/>
  <c r="X3521" i="1" s="1"/>
  <c r="X3541" i="1"/>
  <c r="V3557" i="1"/>
  <c r="X1403" i="1"/>
  <c r="AB1401" i="1"/>
  <c r="V1420" i="1"/>
  <c r="X1420" i="1" s="1"/>
  <c r="V769" i="1"/>
  <c r="X769" i="1" s="1"/>
  <c r="AE370" i="1"/>
  <c r="AG370" i="1" s="1"/>
  <c r="X3139" i="1"/>
  <c r="P1145" i="1"/>
  <c r="P1176" i="1" s="1"/>
  <c r="R1176" i="1" s="1"/>
  <c r="K3992" i="1"/>
  <c r="V3542" i="1"/>
  <c r="P3546" i="1"/>
  <c r="R3546" i="1" s="1"/>
  <c r="K3542" i="1"/>
  <c r="X3162" i="1"/>
  <c r="D550" i="25"/>
  <c r="K2978" i="1"/>
  <c r="P2985" i="1"/>
  <c r="R2985" i="1" s="1"/>
  <c r="I3063" i="1"/>
  <c r="P1221" i="1"/>
  <c r="K1226" i="1"/>
  <c r="I3644" i="1"/>
  <c r="K1649" i="1"/>
  <c r="P1177" i="1"/>
  <c r="R1177" i="1" s="1"/>
  <c r="R1146" i="1"/>
  <c r="K1974" i="1"/>
  <c r="P1974" i="1"/>
  <c r="I3731" i="27"/>
  <c r="K3731" i="27" s="1"/>
  <c r="K3624" i="27"/>
  <c r="P3504" i="27"/>
  <c r="R3504" i="27" s="1"/>
  <c r="I3571" i="27"/>
  <c r="K3571" i="27" s="1"/>
  <c r="I3588" i="27"/>
  <c r="K3588" i="27" s="1"/>
  <c r="K3591" i="27" s="1"/>
  <c r="K3592" i="27" s="1"/>
  <c r="K3582" i="27" s="1"/>
  <c r="K3583" i="27" s="1"/>
  <c r="K3584" i="27" s="1"/>
  <c r="I3809" i="27"/>
  <c r="I3006" i="27"/>
  <c r="K3006" i="27" s="1"/>
  <c r="K2855" i="27"/>
  <c r="I4019" i="1"/>
  <c r="I4007" i="1"/>
  <c r="K4007" i="1" s="1"/>
  <c r="V1389" i="1"/>
  <c r="X1372" i="1"/>
  <c r="X3546" i="1"/>
  <c r="V3526" i="1"/>
  <c r="X3526" i="1" s="1"/>
  <c r="P3367" i="1"/>
  <c r="R3367" i="1" s="1"/>
  <c r="R3298" i="1"/>
  <c r="P3401" i="1"/>
  <c r="R3401" i="1" s="1"/>
  <c r="K2977" i="1"/>
  <c r="P2984" i="1"/>
  <c r="R2984" i="1" s="1"/>
  <c r="I3748" i="1"/>
  <c r="R2434" i="1"/>
  <c r="K2682" i="1"/>
  <c r="I2683" i="1"/>
  <c r="K329" i="11"/>
  <c r="K330" i="11" s="1"/>
  <c r="AC12" i="27"/>
  <c r="C71" i="27" s="1"/>
  <c r="K4011" i="1"/>
  <c r="D48" i="50"/>
  <c r="D111" i="50" s="1"/>
  <c r="F111" i="50" s="1"/>
  <c r="R1459" i="1"/>
  <c r="I4023" i="1"/>
  <c r="I3989" i="1"/>
  <c r="K2427" i="1"/>
  <c r="I22" i="11"/>
  <c r="I2148" i="1"/>
  <c r="I1577" i="1"/>
  <c r="K1577" i="1" s="1"/>
  <c r="I1590" i="1"/>
  <c r="K1590" i="1" s="1"/>
  <c r="I2128" i="1"/>
  <c r="K2128" i="1" s="1"/>
  <c r="I1285" i="1"/>
  <c r="K1285" i="1" s="1"/>
  <c r="I505" i="1"/>
  <c r="I9" i="1"/>
  <c r="I54" i="1"/>
  <c r="I2697" i="1"/>
  <c r="K2697" i="1" s="1"/>
  <c r="I2555" i="27"/>
  <c r="I2586" i="27" s="1"/>
  <c r="K2586" i="27" s="1"/>
  <c r="K437" i="11"/>
  <c r="K438" i="11" s="1"/>
  <c r="K430" i="11" s="1"/>
  <c r="V737" i="1"/>
  <c r="X737" i="1" s="1"/>
  <c r="K3988" i="1"/>
  <c r="I3062" i="1"/>
  <c r="P1433" i="1"/>
  <c r="R1416" i="1"/>
  <c r="V1409" i="1"/>
  <c r="I3077" i="1"/>
  <c r="K3077" i="1" s="1"/>
  <c r="P3065" i="1"/>
  <c r="R3065" i="1" s="1"/>
  <c r="I3057" i="1"/>
  <c r="K3182" i="1"/>
  <c r="K3169" i="1"/>
  <c r="K2146" i="1"/>
  <c r="P1336" i="1"/>
  <c r="R1336" i="1" s="1"/>
  <c r="V806" i="1"/>
  <c r="I1783" i="1"/>
  <c r="K1783" i="1" s="1"/>
  <c r="V885" i="1"/>
  <c r="X1371" i="1"/>
  <c r="I3324" i="1"/>
  <c r="R3264" i="1"/>
  <c r="X3136" i="1"/>
  <c r="V3161" i="1"/>
  <c r="V1396" i="1"/>
  <c r="X1379" i="1"/>
  <c r="AQ3106" i="1"/>
  <c r="AH3106" i="1"/>
  <c r="AH3110" i="1" s="1"/>
  <c r="K1166" i="1"/>
  <c r="K1168" i="1" s="1"/>
  <c r="I1137" i="1" s="1"/>
  <c r="K229" i="1"/>
  <c r="P235" i="1"/>
  <c r="R235" i="1" s="1"/>
  <c r="X3673" i="1"/>
  <c r="AE3667" i="1"/>
  <c r="AG3667" i="1" s="1"/>
  <c r="I3309" i="1"/>
  <c r="K3309" i="1" s="1"/>
  <c r="V869" i="1"/>
  <c r="X869" i="1" s="1"/>
  <c r="X648" i="1"/>
  <c r="AD648" i="1"/>
  <c r="AF648" i="1" s="1"/>
  <c r="P2437" i="1"/>
  <c r="R2437" i="1" s="1"/>
  <c r="K2430" i="1"/>
  <c r="V681" i="1"/>
  <c r="V767" i="1" s="1"/>
  <c r="X767" i="1" s="1"/>
  <c r="X711" i="1"/>
  <c r="Z711" i="1" s="1"/>
  <c r="P10" i="27"/>
  <c r="R10" i="27" s="1"/>
  <c r="I1684" i="27"/>
  <c r="K1684" i="27" s="1"/>
  <c r="D667" i="64"/>
  <c r="F667" i="64" s="1"/>
  <c r="F270" i="32"/>
  <c r="D37" i="25"/>
  <c r="F37" i="25" s="1"/>
  <c r="F24" i="25"/>
  <c r="I3700" i="27"/>
  <c r="I3709" i="27" s="1"/>
  <c r="K3709" i="27" s="1"/>
  <c r="K3712" i="27" s="1"/>
  <c r="K3829" i="27"/>
  <c r="K3896" i="27" s="1"/>
  <c r="P3505" i="27"/>
  <c r="R3505" i="27" s="1"/>
  <c r="K3505" i="27"/>
  <c r="K2371" i="27"/>
  <c r="I2388" i="27"/>
  <c r="K2388" i="27" s="1"/>
  <c r="K1153" i="1"/>
  <c r="K1155" i="1" s="1"/>
  <c r="C1456" i="55" s="1"/>
  <c r="K867" i="1"/>
  <c r="I3928" i="1"/>
  <c r="V867" i="1"/>
  <c r="X867" i="1" s="1"/>
  <c r="K316" i="1"/>
  <c r="V316" i="1"/>
  <c r="I2972" i="1"/>
  <c r="K2836" i="1"/>
  <c r="K3103" i="1"/>
  <c r="P2077" i="1"/>
  <c r="X3672" i="1"/>
  <c r="AE3666" i="1"/>
  <c r="AG3666" i="1" s="1"/>
  <c r="P3193" i="1"/>
  <c r="P3262" i="1" s="1"/>
  <c r="I2818" i="1"/>
  <c r="P2825" i="1" s="1"/>
  <c r="R2825" i="1" s="1"/>
  <c r="I3661" i="1"/>
  <c r="R432" i="1"/>
  <c r="W11" i="64"/>
  <c r="W13" i="64" s="1"/>
  <c r="D668" i="64"/>
  <c r="F668" i="64" s="1"/>
  <c r="F591" i="64"/>
  <c r="I3266" i="27"/>
  <c r="K3248" i="27"/>
  <c r="I3029" i="27"/>
  <c r="K3029" i="27" s="1"/>
  <c r="I2932" i="27"/>
  <c r="V682" i="1"/>
  <c r="D47" i="50" s="1"/>
  <c r="D47" i="32"/>
  <c r="F47" i="32" s="1"/>
  <c r="H47" i="32" s="1"/>
  <c r="I1288" i="1"/>
  <c r="K1288" i="1" s="1"/>
  <c r="K1274" i="1"/>
  <c r="I3643" i="1"/>
  <c r="K1648" i="1"/>
  <c r="I2720" i="1"/>
  <c r="K2720" i="1" s="1"/>
  <c r="K2714" i="1"/>
  <c r="I3465" i="1"/>
  <c r="K3460" i="1"/>
  <c r="AE3540" i="1"/>
  <c r="V3540" i="1"/>
  <c r="P1634" i="1"/>
  <c r="K1632" i="1"/>
  <c r="K3122" i="1"/>
  <c r="K3124" i="1" s="1"/>
  <c r="P3122" i="1"/>
  <c r="R3122" i="1" s="1"/>
  <c r="R3124" i="1" s="1"/>
  <c r="T3124" i="1" s="1"/>
  <c r="F36" i="25"/>
  <c r="D59" i="25"/>
  <c r="P13" i="64"/>
  <c r="K2959" i="27"/>
  <c r="I3912" i="27"/>
  <c r="I2986" i="27"/>
  <c r="K2986" i="27" s="1"/>
  <c r="I3909" i="27"/>
  <c r="I3274" i="27"/>
  <c r="K3274" i="27" s="1"/>
  <c r="K3259" i="27"/>
  <c r="I1845" i="27"/>
  <c r="K1845" i="27" s="1"/>
  <c r="K1017" i="27"/>
  <c r="I2528" i="27"/>
  <c r="K2528" i="27" s="1"/>
  <c r="I1519" i="27"/>
  <c r="K1519" i="27" s="1"/>
  <c r="I1506" i="27"/>
  <c r="K1506" i="27" s="1"/>
  <c r="K3101" i="27"/>
  <c r="P3494" i="27"/>
  <c r="R3494" i="27" s="1"/>
  <c r="P3074" i="27"/>
  <c r="R3074" i="27" s="1"/>
  <c r="K2560" i="27"/>
  <c r="I2591" i="27"/>
  <c r="K2591" i="27" s="1"/>
  <c r="K2509" i="27"/>
  <c r="K2510" i="27" s="1"/>
  <c r="I2499" i="27" s="1"/>
  <c r="K2499" i="27" s="1"/>
  <c r="I44" i="27"/>
  <c r="K44" i="27" s="1"/>
  <c r="K49" i="27" s="1"/>
  <c r="I1236" i="27"/>
  <c r="K1236" i="27" s="1"/>
  <c r="I1492" i="27"/>
  <c r="K1492" i="27" s="1"/>
  <c r="K1498" i="27" s="1"/>
  <c r="P431" i="27"/>
  <c r="R431" i="27" s="1"/>
  <c r="I474" i="27"/>
  <c r="K474" i="27" s="1"/>
  <c r="F620" i="25"/>
  <c r="G505" i="25"/>
  <c r="E190" i="25"/>
  <c r="I3503" i="27"/>
  <c r="P2853" i="27"/>
  <c r="R2847" i="27"/>
  <c r="I27" i="27"/>
  <c r="K27" i="27" s="1"/>
  <c r="K32" i="27" s="1"/>
  <c r="I3616" i="27"/>
  <c r="I3115" i="27"/>
  <c r="I2595" i="27"/>
  <c r="K2595" i="27" s="1"/>
  <c r="I2590" i="27"/>
  <c r="K2590" i="27" s="1"/>
  <c r="K2559" i="27"/>
  <c r="I2529" i="27"/>
  <c r="K2529" i="27" s="1"/>
  <c r="I1740" i="27"/>
  <c r="K1740" i="27" s="1"/>
  <c r="I1520" i="27"/>
  <c r="K1520" i="27" s="1"/>
  <c r="I592" i="27"/>
  <c r="K592" i="27" s="1"/>
  <c r="I535" i="27"/>
  <c r="K535" i="27" s="1"/>
  <c r="P468" i="27"/>
  <c r="R468" i="27" s="1"/>
  <c r="I83" i="27"/>
  <c r="I578" i="27"/>
  <c r="K578" i="27" s="1"/>
  <c r="I1757" i="27"/>
  <c r="K1757" i="27" s="1"/>
  <c r="I1134" i="27"/>
  <c r="K1134" i="27" s="1"/>
  <c r="I1702" i="27"/>
  <c r="K1702" i="27" s="1"/>
  <c r="I1562" i="27"/>
  <c r="K1562" i="27" s="1"/>
  <c r="I1894" i="27"/>
  <c r="K1894" i="27" s="1"/>
  <c r="I1915" i="27"/>
  <c r="K1915" i="27" s="1"/>
  <c r="I1931" i="27"/>
  <c r="K1931" i="27" s="1"/>
  <c r="I2000" i="27"/>
  <c r="K2000" i="27" s="1"/>
  <c r="I2605" i="27"/>
  <c r="K2605" i="27" s="1"/>
  <c r="I1116" i="27"/>
  <c r="K1116" i="27" s="1"/>
  <c r="I1466" i="27"/>
  <c r="K1466" i="27" s="1"/>
  <c r="P83" i="27"/>
  <c r="R83" i="27" s="1"/>
  <c r="P68" i="27"/>
  <c r="R68" i="27" s="1"/>
  <c r="P349" i="27"/>
  <c r="R349" i="27" s="1"/>
  <c r="P363" i="27"/>
  <c r="R363" i="27" s="1"/>
  <c r="P497" i="27"/>
  <c r="R497" i="27" s="1"/>
  <c r="I840" i="27"/>
  <c r="K840" i="27" s="1"/>
  <c r="K750" i="1"/>
  <c r="K752" i="1" s="1"/>
  <c r="I758" i="1" s="1"/>
  <c r="K758" i="1" s="1"/>
  <c r="I778" i="1" s="1"/>
  <c r="K3576" i="1"/>
  <c r="K3577" i="1" s="1"/>
  <c r="I3578" i="1" s="1"/>
  <c r="K731" i="1"/>
  <c r="K733" i="1" s="1"/>
  <c r="K802" i="1" s="1"/>
  <c r="P2870" i="27"/>
  <c r="R2870" i="27" s="1"/>
  <c r="R2875" i="27" s="1"/>
  <c r="R2877" i="27" s="1"/>
  <c r="P2859" i="27" s="1"/>
  <c r="R2859" i="27" s="1"/>
  <c r="I9" i="27"/>
  <c r="K9" i="27" s="1"/>
  <c r="K2561" i="27"/>
  <c r="R3627" i="27"/>
  <c r="R3628" i="27" s="1"/>
  <c r="K2935" i="27"/>
  <c r="I2070" i="27"/>
  <c r="K2070" i="27" s="1"/>
  <c r="K2079" i="27" s="1"/>
  <c r="K2081" i="27" s="1"/>
  <c r="I2050" i="27"/>
  <c r="K2050" i="27" s="1"/>
  <c r="K2059" i="27" s="1"/>
  <c r="K2061" i="27" s="1"/>
  <c r="I1703" i="27"/>
  <c r="K1703" i="27" s="1"/>
  <c r="I1576" i="27"/>
  <c r="K1576" i="27" s="1"/>
  <c r="I1546" i="27"/>
  <c r="K1546" i="27" s="1"/>
  <c r="I1176" i="27"/>
  <c r="K1176" i="27" s="1"/>
  <c r="K1013" i="27"/>
  <c r="I496" i="27"/>
  <c r="K496" i="27" s="1"/>
  <c r="I175" i="27"/>
  <c r="K175" i="27" s="1"/>
  <c r="I72" i="27"/>
  <c r="K72" i="27" s="1"/>
  <c r="K77" i="27" s="1"/>
  <c r="I949" i="27"/>
  <c r="K949" i="27" s="1"/>
  <c r="P691" i="27"/>
  <c r="R691" i="27" s="1"/>
  <c r="R698" i="27" s="1"/>
  <c r="R700" i="27" s="1"/>
  <c r="I2429" i="27"/>
  <c r="K2429" i="27" s="1"/>
  <c r="I2373" i="27"/>
  <c r="K2373" i="27" s="1"/>
  <c r="P764" i="27"/>
  <c r="R764" i="27" s="1"/>
  <c r="P855" i="27"/>
  <c r="R855" i="27" s="1"/>
  <c r="I312" i="27"/>
  <c r="K312" i="27" s="1"/>
  <c r="I336" i="27"/>
  <c r="K336" i="27" s="1"/>
  <c r="I459" i="27"/>
  <c r="K459" i="27" s="1"/>
  <c r="I480" i="27"/>
  <c r="K480" i="27" s="1"/>
  <c r="I1776" i="27"/>
  <c r="K1776" i="27" s="1"/>
  <c r="K1783" i="27" s="1"/>
  <c r="K1785" i="27" s="1"/>
  <c r="I1819" i="27" s="1"/>
  <c r="K1819" i="27" s="1"/>
  <c r="I1867" i="27"/>
  <c r="K1867" i="27" s="1"/>
  <c r="I2053" i="27"/>
  <c r="K2053" i="27" s="1"/>
  <c r="K2057" i="27" s="1"/>
  <c r="G99" i="50"/>
  <c r="J3742" i="27"/>
  <c r="K3742" i="27" s="1"/>
  <c r="K3760" i="27" s="1"/>
  <c r="E677" i="25"/>
  <c r="A690" i="25" s="1"/>
  <c r="E534" i="25"/>
  <c r="A546" i="25" s="1"/>
  <c r="AF24" i="64"/>
  <c r="AF18" i="64" s="1"/>
  <c r="E5" i="4"/>
  <c r="E6" i="4" s="1"/>
  <c r="H4" i="4"/>
  <c r="H5" i="4" s="1"/>
  <c r="H6" i="4" s="1"/>
  <c r="R1394" i="1"/>
  <c r="P2859" i="1"/>
  <c r="R2859" i="1" s="1"/>
  <c r="R3266" i="1"/>
  <c r="I3746" i="1"/>
  <c r="K3746" i="1" s="1"/>
  <c r="I167" i="11"/>
  <c r="K167" i="11" s="1"/>
  <c r="I172" i="11"/>
  <c r="K172" i="11" s="1"/>
  <c r="I174" i="11"/>
  <c r="K174" i="11" s="1"/>
  <c r="K1060" i="1"/>
  <c r="I2315" i="1"/>
  <c r="K2315" i="1" s="1"/>
  <c r="K2319" i="1" s="1"/>
  <c r="R3200" i="1"/>
  <c r="I102" i="11"/>
  <c r="K270" i="11"/>
  <c r="K665" i="11"/>
  <c r="D282" i="64"/>
  <c r="F282" i="64" s="1"/>
  <c r="F417" i="64"/>
  <c r="AK46" i="1"/>
  <c r="X36" i="1"/>
  <c r="X37" i="1" s="1"/>
  <c r="X46" i="1" s="1"/>
  <c r="X47" i="1" s="1"/>
  <c r="P1053" i="1"/>
  <c r="R1053" i="1" s="1"/>
  <c r="AE1195" i="1"/>
  <c r="P2052" i="1"/>
  <c r="M2075" i="1" s="1"/>
  <c r="P2300" i="1"/>
  <c r="R2300" i="1" s="1"/>
  <c r="X2789" i="1"/>
  <c r="I4069" i="1"/>
  <c r="K4069" i="1" s="1"/>
  <c r="I3980" i="1"/>
  <c r="K3980" i="1" s="1"/>
  <c r="P19" i="11"/>
  <c r="P55" i="11"/>
  <c r="R55" i="11" s="1"/>
  <c r="K76" i="11"/>
  <c r="K169" i="11"/>
  <c r="P296" i="11"/>
  <c r="R296" i="11" s="1"/>
  <c r="S410" i="11"/>
  <c r="K428" i="11"/>
  <c r="I831" i="11"/>
  <c r="I704" i="11"/>
  <c r="K704" i="11" s="1"/>
  <c r="E25" i="50"/>
  <c r="E89" i="50" s="1"/>
  <c r="E24" i="50"/>
  <c r="E88" i="50" s="1"/>
  <c r="E148" i="50" s="1"/>
  <c r="C36" i="1"/>
  <c r="K135" i="1" s="1"/>
  <c r="C24" i="55" s="1"/>
  <c r="P3228" i="1"/>
  <c r="I3213" i="1"/>
  <c r="I3199" i="1"/>
  <c r="C462" i="1"/>
  <c r="AJ46" i="1"/>
  <c r="C24" i="1" s="1"/>
  <c r="C23" i="1"/>
  <c r="V902" i="1"/>
  <c r="X902" i="1" s="1"/>
  <c r="P992" i="1"/>
  <c r="R992" i="1" s="1"/>
  <c r="P996" i="1"/>
  <c r="R996" i="1" s="1"/>
  <c r="AE1069" i="1"/>
  <c r="AG1069" i="1" s="1"/>
  <c r="AB1360" i="1"/>
  <c r="AB1361" i="1"/>
  <c r="P1432" i="1"/>
  <c r="P2066" i="1"/>
  <c r="M2078" i="1" s="1"/>
  <c r="R2078" i="1" s="1"/>
  <c r="R2080" i="1"/>
  <c r="AE2623" i="1"/>
  <c r="AG2623" i="1" s="1"/>
  <c r="X2788" i="1"/>
  <c r="U3151" i="1"/>
  <c r="R3265" i="1"/>
  <c r="P3334" i="1"/>
  <c r="R3334" i="1" s="1"/>
  <c r="J4053" i="1"/>
  <c r="F4065" i="1" s="1"/>
  <c r="P27" i="11"/>
  <c r="R27" i="11" s="1"/>
  <c r="I988" i="11"/>
  <c r="K988" i="11" s="1"/>
  <c r="P48" i="11"/>
  <c r="R48" i="11" s="1"/>
  <c r="K339" i="11"/>
  <c r="I576" i="11"/>
  <c r="L731" i="11"/>
  <c r="R795" i="11"/>
  <c r="P820" i="11"/>
  <c r="R820" i="11" s="1"/>
  <c r="K226" i="11"/>
  <c r="I1070" i="11"/>
  <c r="K1070" i="11" s="1"/>
  <c r="P179" i="27"/>
  <c r="R179" i="27" s="1"/>
  <c r="I335" i="27"/>
  <c r="K335" i="27" s="1"/>
  <c r="I916" i="11"/>
  <c r="K916" i="11" s="1"/>
  <c r="K899" i="11"/>
  <c r="K902" i="11" s="1"/>
  <c r="K895" i="11" s="1"/>
  <c r="K896" i="11" s="1"/>
  <c r="K467" i="11"/>
  <c r="I492" i="11"/>
  <c r="K492" i="11" s="1"/>
  <c r="K493" i="11" s="1"/>
  <c r="K487" i="11" s="1"/>
  <c r="K508" i="11"/>
  <c r="K509" i="11" s="1"/>
  <c r="K501" i="11" s="1"/>
  <c r="I518" i="27"/>
  <c r="K518" i="27" s="1"/>
  <c r="K523" i="27" s="1"/>
  <c r="K525" i="27" s="1"/>
  <c r="I527" i="27" s="1"/>
  <c r="K527" i="27" s="1"/>
  <c r="I528" i="27" s="1"/>
  <c r="K528" i="27" s="1"/>
  <c r="I529" i="27" s="1"/>
  <c r="K529" i="27" s="1"/>
  <c r="I530" i="27" s="1"/>
  <c r="K530" i="27" s="1"/>
  <c r="I531" i="27" s="1"/>
  <c r="K531" i="27" s="1"/>
  <c r="I534" i="27"/>
  <c r="K534" i="27" s="1"/>
  <c r="K539" i="27" s="1"/>
  <c r="K541" i="27" s="1"/>
  <c r="I543" i="27" s="1"/>
  <c r="K543" i="27" s="1"/>
  <c r="I544" i="27" s="1"/>
  <c r="K544" i="27" s="1"/>
  <c r="I545" i="27" s="1"/>
  <c r="K545" i="27" s="1"/>
  <c r="I546" i="27" s="1"/>
  <c r="K546" i="27" s="1"/>
  <c r="I547" i="27" s="1"/>
  <c r="K547" i="27" s="1"/>
  <c r="K509" i="27"/>
  <c r="K511" i="27" s="1"/>
  <c r="K512" i="27" s="1"/>
  <c r="K513" i="27" s="1"/>
  <c r="K514" i="27" s="1"/>
  <c r="K957" i="27"/>
  <c r="K959" i="27" s="1"/>
  <c r="K794" i="11"/>
  <c r="I4026" i="1"/>
  <c r="G97" i="32"/>
  <c r="G99" i="32" s="1"/>
  <c r="E157" i="32"/>
  <c r="G157" i="32" s="1"/>
  <c r="G159" i="32" s="1"/>
  <c r="A26" i="32"/>
  <c r="F26" i="32" s="1"/>
  <c r="F25" i="32"/>
  <c r="M881" i="11"/>
  <c r="K2286" i="1"/>
  <c r="C440" i="55" s="1"/>
  <c r="P605" i="27"/>
  <c r="R605" i="27" s="1"/>
  <c r="K2555" i="27"/>
  <c r="I1575" i="27"/>
  <c r="K1575" i="27" s="1"/>
  <c r="K1582" i="27" s="1"/>
  <c r="K1584" i="27" s="1"/>
  <c r="I225" i="11"/>
  <c r="K225" i="11" s="1"/>
  <c r="I853" i="11"/>
  <c r="I466" i="11"/>
  <c r="K466" i="11" s="1"/>
  <c r="K83" i="11"/>
  <c r="K2554" i="27"/>
  <c r="K918" i="11"/>
  <c r="K919" i="11" s="1"/>
  <c r="K912" i="11" s="1"/>
  <c r="I127" i="11"/>
  <c r="I258" i="11"/>
  <c r="K258" i="11" s="1"/>
  <c r="I39" i="25"/>
  <c r="P3618" i="27"/>
  <c r="R3618" i="27"/>
  <c r="V3603" i="1"/>
  <c r="X3603" i="1" s="1"/>
  <c r="V804" i="1"/>
  <c r="AE341" i="1"/>
  <c r="AG341" i="1" s="1"/>
  <c r="P3403" i="1"/>
  <c r="R3403" i="1" s="1"/>
  <c r="P619" i="27"/>
  <c r="R619" i="27" s="1"/>
  <c r="G833" i="64"/>
  <c r="E888" i="64"/>
  <c r="G888" i="64" s="1"/>
  <c r="F90" i="32"/>
  <c r="C35" i="27"/>
  <c r="P212" i="27"/>
  <c r="R212" i="27" s="1"/>
  <c r="R220" i="27" s="1"/>
  <c r="R223" i="27" s="1"/>
  <c r="I1087" i="27"/>
  <c r="I196" i="27"/>
  <c r="K196" i="27" s="1"/>
  <c r="P67" i="27"/>
  <c r="R67" i="27" s="1"/>
  <c r="I313" i="27"/>
  <c r="K313" i="27" s="1"/>
  <c r="I337" i="27"/>
  <c r="K337" i="27" s="1"/>
  <c r="I774" i="27"/>
  <c r="K774" i="27" s="1"/>
  <c r="P82" i="27"/>
  <c r="R82" i="27" s="1"/>
  <c r="I272" i="27"/>
  <c r="K272" i="27" s="1"/>
  <c r="I357" i="27"/>
  <c r="K357" i="27" s="1"/>
  <c r="I446" i="27"/>
  <c r="K446" i="27" s="1"/>
  <c r="I297" i="27"/>
  <c r="K297" i="27" s="1"/>
  <c r="P81" i="27"/>
  <c r="R81" i="27" s="1"/>
  <c r="I356" i="27"/>
  <c r="K356" i="27" s="1"/>
  <c r="P362" i="27"/>
  <c r="R362" i="27" s="1"/>
  <c r="I445" i="27"/>
  <c r="K445" i="27" s="1"/>
  <c r="P496" i="27"/>
  <c r="R496" i="27" s="1"/>
  <c r="P514" i="27"/>
  <c r="R514" i="27" s="1"/>
  <c r="I560" i="27"/>
  <c r="K560" i="27" s="1"/>
  <c r="P348" i="27"/>
  <c r="R348" i="27" s="1"/>
  <c r="I411" i="27"/>
  <c r="K411" i="27" s="1"/>
  <c r="I426" i="27"/>
  <c r="K426" i="27" s="1"/>
  <c r="P534" i="27"/>
  <c r="R534" i="27" s="1"/>
  <c r="G329" i="25"/>
  <c r="G330" i="25" s="1"/>
  <c r="G331" i="25" s="1"/>
  <c r="F138" i="25"/>
  <c r="D161" i="25"/>
  <c r="F161" i="25" s="1"/>
  <c r="D304" i="25"/>
  <c r="F304" i="25" s="1"/>
  <c r="I3038" i="27"/>
  <c r="K3038" i="27" s="1"/>
  <c r="K3924" i="27"/>
  <c r="I3938" i="27" s="1"/>
  <c r="K3938" i="27" s="1"/>
  <c r="G35" i="50"/>
  <c r="E150" i="32"/>
  <c r="F150" i="32" s="1"/>
  <c r="I3494" i="27"/>
  <c r="K2804" i="27"/>
  <c r="K2710" i="27"/>
  <c r="K2711" i="27" s="1"/>
  <c r="K2703" i="27" s="1"/>
  <c r="K2705" i="27" s="1"/>
  <c r="K1138" i="27"/>
  <c r="K1140" i="27" s="1"/>
  <c r="P722" i="27"/>
  <c r="R722" i="27" s="1"/>
  <c r="R729" i="27" s="1"/>
  <c r="R731" i="27" s="1"/>
  <c r="P706" i="27"/>
  <c r="R706" i="27" s="1"/>
  <c r="R713" i="27" s="1"/>
  <c r="R715" i="27" s="1"/>
  <c r="K564" i="27"/>
  <c r="K567" i="27" s="1"/>
  <c r="I568" i="27" s="1"/>
  <c r="K568" i="27" s="1"/>
  <c r="I569" i="27" s="1"/>
  <c r="K569" i="27" s="1"/>
  <c r="I570" i="27" s="1"/>
  <c r="K570" i="27" s="1"/>
  <c r="I571" i="27" s="1"/>
  <c r="K571" i="27" s="1"/>
  <c r="I572" i="27" s="1"/>
  <c r="K572" i="27" s="1"/>
  <c r="I498" i="27"/>
  <c r="K498" i="27" s="1"/>
  <c r="P364" i="27"/>
  <c r="R364" i="27" s="1"/>
  <c r="P319" i="27"/>
  <c r="R319" i="27" s="1"/>
  <c r="P267" i="27"/>
  <c r="R267" i="27" s="1"/>
  <c r="I63" i="27"/>
  <c r="K63" i="27" s="1"/>
  <c r="K68" i="27" s="1"/>
  <c r="P52" i="27"/>
  <c r="R52" i="27" s="1"/>
  <c r="P54" i="27"/>
  <c r="R54" i="27" s="1"/>
  <c r="I228" i="27"/>
  <c r="K228" i="27" s="1"/>
  <c r="P298" i="27"/>
  <c r="R298" i="27" s="1"/>
  <c r="P309" i="27"/>
  <c r="R309" i="27" s="1"/>
  <c r="I339" i="27"/>
  <c r="K339" i="27" s="1"/>
  <c r="P378" i="27"/>
  <c r="R378" i="27" s="1"/>
  <c r="P392" i="27"/>
  <c r="R392" i="27" s="1"/>
  <c r="I414" i="27"/>
  <c r="K414" i="27" s="1"/>
  <c r="I824" i="27"/>
  <c r="K824" i="27" s="1"/>
  <c r="I1175" i="27"/>
  <c r="K1175" i="27" s="1"/>
  <c r="I1179" i="27"/>
  <c r="K1179" i="27" s="1"/>
  <c r="I198" i="27"/>
  <c r="K198" i="27" s="1"/>
  <c r="P286" i="27"/>
  <c r="R286" i="27" s="1"/>
  <c r="P321" i="27"/>
  <c r="R321" i="27" s="1"/>
  <c r="I483" i="27"/>
  <c r="K483" i="27" s="1"/>
  <c r="P536" i="27"/>
  <c r="R536" i="27" s="1"/>
  <c r="G498" i="25"/>
  <c r="E488" i="25" s="1"/>
  <c r="G419" i="25"/>
  <c r="G420" i="25" s="1"/>
  <c r="G421" i="25" s="1"/>
  <c r="A432" i="25" s="1"/>
  <c r="G432" i="25" s="1"/>
  <c r="G439" i="25" s="1"/>
  <c r="G440" i="25" s="1"/>
  <c r="C745" i="55" s="1"/>
  <c r="F150" i="64"/>
  <c r="E839" i="64"/>
  <c r="F584" i="25"/>
  <c r="P43" i="64"/>
  <c r="P2883" i="27"/>
  <c r="R2883" i="27" s="1"/>
  <c r="E157" i="50"/>
  <c r="G157" i="50" s="1"/>
  <c r="G159" i="50" s="1"/>
  <c r="F88" i="32"/>
  <c r="F24" i="32"/>
  <c r="K1455" i="27"/>
  <c r="K1457" i="27" s="1"/>
  <c r="I481" i="27"/>
  <c r="K481" i="27" s="1"/>
  <c r="I412" i="27"/>
  <c r="K412" i="27" s="1"/>
  <c r="P336" i="27"/>
  <c r="R336" i="27" s="1"/>
  <c r="I94" i="27"/>
  <c r="K94" i="27" s="1"/>
  <c r="I123" i="27"/>
  <c r="K123" i="27" s="1"/>
  <c r="K126" i="27" s="1"/>
  <c r="K128" i="27" s="1"/>
  <c r="K129" i="27" s="1"/>
  <c r="G466" i="25"/>
  <c r="R1405" i="1"/>
  <c r="C310" i="55" s="1"/>
  <c r="K3242" i="1"/>
  <c r="L3208" i="1" s="1"/>
  <c r="F144" i="64"/>
  <c r="F143" i="64"/>
  <c r="E832" i="64"/>
  <c r="G33" i="32"/>
  <c r="G35" i="32" s="1"/>
  <c r="K3355" i="27"/>
  <c r="K3356" i="27" s="1"/>
  <c r="K2643" i="27"/>
  <c r="K2645" i="27" s="1"/>
  <c r="I35" i="27"/>
  <c r="K35" i="27" s="1"/>
  <c r="K40" i="27" s="1"/>
  <c r="I270" i="27"/>
  <c r="K270" i="27" s="1"/>
  <c r="F111" i="25"/>
  <c r="D137" i="25"/>
  <c r="F137" i="25" s="1"/>
  <c r="K647" i="27"/>
  <c r="K649" i="27" s="1"/>
  <c r="K650" i="27" s="1"/>
  <c r="K651" i="27" s="1"/>
  <c r="K652" i="27" s="1"/>
  <c r="K653" i="27" s="1"/>
  <c r="R443" i="27"/>
  <c r="R445" i="27" s="1"/>
  <c r="E570" i="25"/>
  <c r="A583" i="25" s="1"/>
  <c r="G477" i="25"/>
  <c r="F292" i="25"/>
  <c r="F293" i="25" s="1"/>
  <c r="K1482" i="27"/>
  <c r="K1484" i="27" s="1"/>
  <c r="P553" i="27"/>
  <c r="R553" i="27" s="1"/>
  <c r="R566" i="27" s="1"/>
  <c r="R568" i="27" s="1"/>
  <c r="P533" i="27"/>
  <c r="R533" i="27" s="1"/>
  <c r="P449" i="27"/>
  <c r="R449" i="27" s="1"/>
  <c r="E641" i="25"/>
  <c r="A654" i="25" s="1"/>
  <c r="D292" i="64"/>
  <c r="F292" i="64" s="1"/>
  <c r="E837" i="64"/>
  <c r="F139" i="64"/>
  <c r="E829" i="64"/>
  <c r="F135" i="64"/>
  <c r="E825" i="64"/>
  <c r="G823" i="64"/>
  <c r="E878" i="64"/>
  <c r="G878" i="64" s="1"/>
  <c r="AF16" i="64"/>
  <c r="AF17" i="64" s="1"/>
  <c r="AF19" i="64" s="1"/>
  <c r="K638" i="64"/>
  <c r="V3539" i="1"/>
  <c r="P3543" i="1"/>
  <c r="R3543" i="1" s="1"/>
  <c r="I791" i="11"/>
  <c r="I739" i="11"/>
  <c r="K739" i="11" s="1"/>
  <c r="K672" i="11"/>
  <c r="F146" i="64"/>
  <c r="E835" i="64"/>
  <c r="D291" i="64"/>
  <c r="D414" i="64" s="1"/>
  <c r="D539" i="64" s="1"/>
  <c r="F539" i="64" s="1"/>
  <c r="E836" i="64"/>
  <c r="F138" i="64"/>
  <c r="E828" i="64"/>
  <c r="F151" i="64"/>
  <c r="E840" i="64"/>
  <c r="J638" i="64"/>
  <c r="F11" i="64"/>
  <c r="W24" i="64"/>
  <c r="K685" i="1"/>
  <c r="I687" i="1" s="1"/>
  <c r="K687" i="1" s="1"/>
  <c r="P990" i="1"/>
  <c r="R990" i="1" s="1"/>
  <c r="K1025" i="1"/>
  <c r="K1056" i="1"/>
  <c r="X1357" i="1"/>
  <c r="X1358" i="1"/>
  <c r="I2539" i="1"/>
  <c r="I2487" i="1"/>
  <c r="AE2608" i="1"/>
  <c r="AB2617" i="1" s="1"/>
  <c r="P3194" i="1"/>
  <c r="R3194" i="1" s="1"/>
  <c r="K2638" i="1"/>
  <c r="I3075" i="1"/>
  <c r="P3063" i="1"/>
  <c r="R3063" i="1" s="1"/>
  <c r="K3152" i="1"/>
  <c r="K3156" i="1"/>
  <c r="K3941" i="1"/>
  <c r="I740" i="11"/>
  <c r="K740" i="11" s="1"/>
  <c r="I757" i="11"/>
  <c r="K757" i="11" s="1"/>
  <c r="K675" i="11"/>
  <c r="L928" i="11"/>
  <c r="G357" i="25"/>
  <c r="E347" i="25" s="1"/>
  <c r="G347" i="25" s="1"/>
  <c r="G349" i="25" s="1"/>
  <c r="G350" i="25" s="1"/>
  <c r="C742" i="55" s="1"/>
  <c r="F145" i="64"/>
  <c r="E834" i="64"/>
  <c r="F26" i="64"/>
  <c r="F137" i="64"/>
  <c r="E827" i="64"/>
  <c r="G824" i="64"/>
  <c r="E879" i="64"/>
  <c r="G879" i="64" s="1"/>
  <c r="E13" i="4"/>
  <c r="Z38" i="1" s="1"/>
  <c r="AC38" i="1" s="1"/>
  <c r="E11" i="4"/>
  <c r="AI43" i="1"/>
  <c r="P949" i="1"/>
  <c r="R949" i="1" s="1"/>
  <c r="K1671" i="1"/>
  <c r="C364" i="55" s="1"/>
  <c r="P2676" i="1"/>
  <c r="R2827" i="1"/>
  <c r="K673" i="11"/>
  <c r="I741" i="11"/>
  <c r="K741" i="11" s="1"/>
  <c r="R869" i="11"/>
  <c r="R870" i="11" s="1"/>
  <c r="R872" i="11" s="1"/>
  <c r="K1257" i="11"/>
  <c r="K1258" i="11" s="1"/>
  <c r="K1259" i="11" s="1"/>
  <c r="K1263" i="11" s="1"/>
  <c r="K1265" i="11" s="1"/>
  <c r="G402" i="25"/>
  <c r="E392" i="25" s="1"/>
  <c r="G392" i="25" s="1"/>
  <c r="G394" i="25" s="1"/>
  <c r="G395" i="25" s="1"/>
  <c r="C744" i="55" s="1"/>
  <c r="G374" i="25"/>
  <c r="D197" i="25"/>
  <c r="A194" i="25" s="1"/>
  <c r="G194" i="25" s="1"/>
  <c r="F149" i="64"/>
  <c r="E838" i="64"/>
  <c r="F136" i="64"/>
  <c r="E826" i="64"/>
  <c r="F133" i="64"/>
  <c r="F129" i="64"/>
  <c r="P30" i="64"/>
  <c r="P31" i="64" s="1"/>
  <c r="P23" i="64" s="1"/>
  <c r="P24" i="64" s="1"/>
  <c r="Z39" i="1"/>
  <c r="AC39" i="1" s="1"/>
  <c r="P126" i="1" s="1"/>
  <c r="R126" i="1" s="1"/>
  <c r="E12" i="4"/>
  <c r="Z9" i="1" s="1"/>
  <c r="E10" i="4"/>
  <c r="Z11" i="1" s="1"/>
  <c r="N4" i="4"/>
  <c r="N5" i="4" s="1"/>
  <c r="N6" i="4" s="1"/>
  <c r="AH43" i="1"/>
  <c r="M564" i="1"/>
  <c r="P1054" i="1"/>
  <c r="R1054" i="1" s="1"/>
  <c r="V1354" i="1"/>
  <c r="R1358" i="1"/>
  <c r="R1359" i="1" s="1"/>
  <c r="R1364" i="1" s="1"/>
  <c r="R1366" i="1" s="1"/>
  <c r="R2081" i="1"/>
  <c r="K2099" i="1"/>
  <c r="K2643" i="1"/>
  <c r="K2669" i="1"/>
  <c r="X2787" i="1"/>
  <c r="V3123" i="1"/>
  <c r="R3232" i="1"/>
  <c r="I3830" i="1"/>
  <c r="K3830" i="1" s="1"/>
  <c r="K3463" i="1"/>
  <c r="AB3540" i="1"/>
  <c r="AB3539" i="1"/>
  <c r="AG3539" i="1" s="1"/>
  <c r="C292" i="64"/>
  <c r="C415" i="64" s="1"/>
  <c r="C837" i="64"/>
  <c r="C892" i="64" s="1"/>
  <c r="K42" i="11"/>
  <c r="I574" i="11"/>
  <c r="N732" i="11"/>
  <c r="K982" i="11"/>
  <c r="I1113" i="11"/>
  <c r="P2057" i="1"/>
  <c r="K2640" i="1"/>
  <c r="X2790" i="1"/>
  <c r="R2828" i="1"/>
  <c r="R3231" i="1"/>
  <c r="X3654" i="1"/>
  <c r="K3692" i="1"/>
  <c r="G3900" i="1"/>
  <c r="G3901" i="1" s="1"/>
  <c r="K666" i="11"/>
  <c r="K3056" i="1"/>
  <c r="K3149" i="1"/>
  <c r="K3539" i="1"/>
  <c r="K3693" i="1"/>
  <c r="H3870" i="1"/>
  <c r="E3874" i="1" s="1"/>
  <c r="R837" i="11"/>
  <c r="X480" i="1"/>
  <c r="AS67" i="1"/>
  <c r="AE340" i="1"/>
  <c r="AG340" i="1" s="1"/>
  <c r="X681" i="1"/>
  <c r="AE394" i="1"/>
  <c r="AE430" i="1" s="1"/>
  <c r="AG430" i="1" s="1"/>
  <c r="K1945" i="1"/>
  <c r="V317" i="1"/>
  <c r="AE317" i="1" s="1"/>
  <c r="AG317" i="1" s="1"/>
  <c r="K84" i="1"/>
  <c r="V736" i="1"/>
  <c r="X736" i="1" s="1"/>
  <c r="K1995" i="1"/>
  <c r="P198" i="1"/>
  <c r="I3464" i="1"/>
  <c r="P3470" i="1" s="1"/>
  <c r="R3470" i="1" s="1"/>
  <c r="P1179" i="1"/>
  <c r="R1179" i="1" s="1"/>
  <c r="AE2619" i="1"/>
  <c r="AG2619" i="1" s="1"/>
  <c r="AE393" i="1"/>
  <c r="P1894" i="1"/>
  <c r="P1115" i="1"/>
  <c r="C23" i="55"/>
  <c r="I3826" i="1"/>
  <c r="K3826" i="1" s="1"/>
  <c r="K1258" i="1"/>
  <c r="K1848" i="1"/>
  <c r="K2029" i="1"/>
  <c r="V555" i="1"/>
  <c r="X555" i="1" s="1"/>
  <c r="K198" i="1"/>
  <c r="D71" i="25"/>
  <c r="AE2653" i="1"/>
  <c r="AG2653" i="1" s="1"/>
  <c r="P3465" i="1"/>
  <c r="R3465" i="1" s="1"/>
  <c r="P1864" i="1"/>
  <c r="V1288" i="1"/>
  <c r="X1288" i="1" s="1"/>
  <c r="V360" i="1"/>
  <c r="P3508" i="1"/>
  <c r="R3508" i="1" s="1"/>
  <c r="R3510" i="1" s="1"/>
  <c r="R3511" i="1" s="1"/>
  <c r="I112" i="1"/>
  <c r="K112" i="1" s="1"/>
  <c r="K115" i="1" s="1"/>
  <c r="K117" i="1" s="1"/>
  <c r="L117" i="1" s="1"/>
  <c r="C16" i="55" s="1"/>
  <c r="I2903" i="1"/>
  <c r="K2903" i="1" s="1"/>
  <c r="AB1334" i="1"/>
  <c r="AC1334" i="1" s="1"/>
  <c r="P2375" i="1"/>
  <c r="R2375" i="1" s="1"/>
  <c r="R433" i="1"/>
  <c r="K3662" i="1"/>
  <c r="I3683" i="1"/>
  <c r="K3683" i="1" s="1"/>
  <c r="AB1192" i="1"/>
  <c r="R3193" i="1"/>
  <c r="X339" i="1"/>
  <c r="R1553" i="1"/>
  <c r="P1542" i="1" s="1"/>
  <c r="R1542" i="1" s="1"/>
  <c r="AC25" i="1"/>
  <c r="C88" i="1" s="1"/>
  <c r="Z24" i="1"/>
  <c r="AC24" i="1" s="1"/>
  <c r="C87" i="1" s="1"/>
  <c r="Z26" i="1"/>
  <c r="K1808" i="1"/>
  <c r="E212" i="32"/>
  <c r="F212" i="32" s="1"/>
  <c r="V822" i="1"/>
  <c r="X822" i="1" s="1"/>
  <c r="X807" i="1"/>
  <c r="R1221" i="1"/>
  <c r="T1221" i="1" s="1"/>
  <c r="P1263" i="1"/>
  <c r="P1226" i="1"/>
  <c r="AI531" i="1"/>
  <c r="AI555" i="1" s="1"/>
  <c r="AD531" i="1"/>
  <c r="AB555" i="1"/>
  <c r="K3566" i="1"/>
  <c r="P3569" i="1"/>
  <c r="R3569" i="1" s="1"/>
  <c r="X359" i="1"/>
  <c r="AE368" i="1"/>
  <c r="AG368" i="1" s="1"/>
  <c r="K1512" i="1"/>
  <c r="K1514" i="1" s="1"/>
  <c r="C350" i="55" s="1"/>
  <c r="D109" i="32"/>
  <c r="F109" i="32" s="1"/>
  <c r="I3183" i="1"/>
  <c r="K3057" i="1"/>
  <c r="V740" i="1"/>
  <c r="X740" i="1" s="1"/>
  <c r="I3833" i="1"/>
  <c r="K3833" i="1" s="1"/>
  <c r="X385" i="1"/>
  <c r="D51" i="32"/>
  <c r="R3295" i="1"/>
  <c r="P2376" i="1"/>
  <c r="R2376" i="1" s="1"/>
  <c r="I3171" i="1"/>
  <c r="P1220" i="1"/>
  <c r="P1219" i="1"/>
  <c r="I3172" i="1"/>
  <c r="V1289" i="1"/>
  <c r="X1289" i="1" s="1"/>
  <c r="K1255" i="1"/>
  <c r="X3671" i="1"/>
  <c r="R383" i="1"/>
  <c r="R385" i="1" s="1"/>
  <c r="C1501" i="55" s="1"/>
  <c r="V3556" i="1"/>
  <c r="K3466" i="1"/>
  <c r="X531" i="1"/>
  <c r="P2010" i="1"/>
  <c r="K359" i="1"/>
  <c r="P127" i="1"/>
  <c r="R127" i="1" s="1"/>
  <c r="AE3665" i="1"/>
  <c r="AG3665" i="1" s="1"/>
  <c r="D73" i="25"/>
  <c r="K3773" i="1"/>
  <c r="K3775" i="1" s="1"/>
  <c r="R284" i="11"/>
  <c r="F48" i="50"/>
  <c r="R397" i="1"/>
  <c r="R399" i="1" s="1"/>
  <c r="I3356" i="1"/>
  <c r="K3369" i="1"/>
  <c r="K3186" i="1"/>
  <c r="X3134" i="1"/>
  <c r="R1528" i="1"/>
  <c r="R1530" i="1" s="1"/>
  <c r="V3252" i="1"/>
  <c r="X3252" i="1" s="1"/>
  <c r="K1539" i="1"/>
  <c r="K1541" i="1" s="1"/>
  <c r="I3110" i="1" s="1"/>
  <c r="I3809" i="1"/>
  <c r="K3809" i="1" s="1"/>
  <c r="C724" i="55"/>
  <c r="V200" i="1"/>
  <c r="X200" i="1" s="1"/>
  <c r="R200" i="1"/>
  <c r="X3159" i="1"/>
  <c r="V1324" i="1"/>
  <c r="X1324" i="1" s="1"/>
  <c r="K3105" i="1"/>
  <c r="P199" i="1"/>
  <c r="K200" i="1"/>
  <c r="K3726" i="1"/>
  <c r="I3718" i="1" s="1"/>
  <c r="K3718" i="1" s="1"/>
  <c r="K3719" i="1" s="1"/>
  <c r="K3720" i="1" s="1"/>
  <c r="K2373" i="1"/>
  <c r="K2375" i="1" s="1"/>
  <c r="K3347" i="1"/>
  <c r="K3349" i="1" s="1"/>
  <c r="P168" i="1"/>
  <c r="R168" i="1" s="1"/>
  <c r="I2337" i="1"/>
  <c r="K2337" i="1" s="1"/>
  <c r="K2338" i="1" s="1"/>
  <c r="K2339" i="1" s="1"/>
  <c r="I2343" i="1" s="1"/>
  <c r="K2343" i="1" s="1"/>
  <c r="AS91" i="1"/>
  <c r="K1525" i="1"/>
  <c r="K1527" i="1" s="1"/>
  <c r="C669" i="55" s="1"/>
  <c r="L2760" i="1"/>
  <c r="K2794" i="1" s="1"/>
  <c r="I3548" i="1"/>
  <c r="AK531" i="1"/>
  <c r="R2380" i="1"/>
  <c r="R2382" i="1" s="1"/>
  <c r="K3709" i="1"/>
  <c r="K3710" i="1" s="1"/>
  <c r="K3800" i="1"/>
  <c r="I3790" i="1" s="1"/>
  <c r="R3519" i="1"/>
  <c r="R3520" i="1" s="1"/>
  <c r="I3507" i="1" s="1"/>
  <c r="K3507" i="1" s="1"/>
  <c r="K2168" i="1"/>
  <c r="K2170" i="1" s="1"/>
  <c r="C406" i="55" s="1"/>
  <c r="K2086" i="1"/>
  <c r="K2088" i="1" s="1"/>
  <c r="C683" i="55" s="1"/>
  <c r="K3047" i="1"/>
  <c r="C716" i="55" s="1"/>
  <c r="R1310" i="1"/>
  <c r="R1312" i="1" s="1"/>
  <c r="R2339" i="1"/>
  <c r="R2340" i="1" s="1"/>
  <c r="R894" i="1"/>
  <c r="R896" i="1" s="1"/>
  <c r="R589" i="1"/>
  <c r="R591" i="1" s="1"/>
  <c r="K2181" i="1"/>
  <c r="K2183" i="1" s="1"/>
  <c r="K2185" i="1" s="1"/>
  <c r="C407" i="55" s="1"/>
  <c r="K2724" i="1"/>
  <c r="K2726" i="1" s="1"/>
  <c r="C668" i="55" s="1"/>
  <c r="R2415" i="1"/>
  <c r="R2417" i="1" s="1"/>
  <c r="C734" i="55" s="1"/>
  <c r="R463" i="1"/>
  <c r="R465" i="1" s="1"/>
  <c r="P23" i="1"/>
  <c r="P9" i="1"/>
  <c r="R9" i="1" s="1"/>
  <c r="AC19" i="1"/>
  <c r="C82" i="1" s="1"/>
  <c r="Z20" i="1"/>
  <c r="AC20" i="1" s="1"/>
  <c r="I226" i="1" s="1"/>
  <c r="I380" i="1"/>
  <c r="I336" i="1"/>
  <c r="K336" i="1" s="1"/>
  <c r="I312" i="1"/>
  <c r="I411" i="1"/>
  <c r="K411" i="1" s="1"/>
  <c r="I356" i="1"/>
  <c r="K356" i="1" s="1"/>
  <c r="Z29" i="1"/>
  <c r="X19" i="1"/>
  <c r="X20" i="1" s="1"/>
  <c r="F16" i="25"/>
  <c r="F18" i="25" s="1"/>
  <c r="F219" i="64"/>
  <c r="F123" i="64"/>
  <c r="F72" i="25"/>
  <c r="D100" i="25"/>
  <c r="F52" i="25"/>
  <c r="D42" i="25" s="1"/>
  <c r="F42" i="25" s="1"/>
  <c r="K2761" i="27"/>
  <c r="K2764" i="27" s="1"/>
  <c r="I3040" i="27"/>
  <c r="K3040" i="27" s="1"/>
  <c r="K2873" i="27"/>
  <c r="K2857" i="27" s="1"/>
  <c r="K3008" i="27" s="1"/>
  <c r="P79" i="27"/>
  <c r="R79" i="27" s="1"/>
  <c r="R87" i="27" s="1"/>
  <c r="R89" i="27" s="1"/>
  <c r="P144" i="27"/>
  <c r="R144" i="27" s="1"/>
  <c r="R196" i="27" s="1"/>
  <c r="R198" i="27" s="1"/>
  <c r="R201" i="27" s="1"/>
  <c r="R202" i="27" s="1"/>
  <c r="R203" i="27" s="1"/>
  <c r="R204" i="27" s="1"/>
  <c r="K322" i="27"/>
  <c r="K323" i="27" s="1"/>
  <c r="K324" i="27" s="1"/>
  <c r="K325" i="27" s="1"/>
  <c r="K326" i="27" s="1"/>
  <c r="P602" i="27"/>
  <c r="R602" i="27" s="1"/>
  <c r="K367" i="27"/>
  <c r="K368" i="27" s="1"/>
  <c r="K369" i="27" s="1"/>
  <c r="K370" i="27" s="1"/>
  <c r="P266" i="27"/>
  <c r="R266" i="27" s="1"/>
  <c r="R270" i="27" s="1"/>
  <c r="R272" i="27" s="1"/>
  <c r="R274" i="27" s="1"/>
  <c r="R275" i="27" s="1"/>
  <c r="R276" i="27" s="1"/>
  <c r="R277" i="27" s="1"/>
  <c r="I425" i="27"/>
  <c r="K425" i="27" s="1"/>
  <c r="K429" i="27" s="1"/>
  <c r="K431" i="27" s="1"/>
  <c r="K433" i="27" s="1"/>
  <c r="K434" i="27" s="1"/>
  <c r="K435" i="27" s="1"/>
  <c r="K436" i="27" s="1"/>
  <c r="K437" i="27" s="1"/>
  <c r="C1491" i="55"/>
  <c r="M896" i="11"/>
  <c r="K941" i="11"/>
  <c r="K413" i="11"/>
  <c r="K957" i="11" s="1"/>
  <c r="R412" i="11"/>
  <c r="R413" i="11" s="1"/>
  <c r="C1503" i="55"/>
  <c r="K534" i="11"/>
  <c r="I1574" i="1"/>
  <c r="K1574" i="1" s="1"/>
  <c r="K1581" i="1" s="1"/>
  <c r="K1583" i="1" s="1"/>
  <c r="I1602" i="1"/>
  <c r="K322" i="11"/>
  <c r="K323" i="11" s="1"/>
  <c r="L323" i="11" s="1"/>
  <c r="K341" i="11"/>
  <c r="K342" i="11" s="1"/>
  <c r="K2274" i="1" s="1"/>
  <c r="C428" i="55" s="1"/>
  <c r="K352" i="11"/>
  <c r="K353" i="11" s="1"/>
  <c r="C937" i="55"/>
  <c r="L304" i="11"/>
  <c r="K389" i="11"/>
  <c r="K378" i="11"/>
  <c r="K363" i="11"/>
  <c r="K364" i="11" s="1"/>
  <c r="C139" i="1"/>
  <c r="C141" i="1"/>
  <c r="L871" i="11"/>
  <c r="C1490" i="55"/>
  <c r="R669" i="11"/>
  <c r="K3578" i="1"/>
  <c r="V808" i="1"/>
  <c r="V772" i="1" s="1"/>
  <c r="R1149" i="1"/>
  <c r="P1180" i="1" s="1"/>
  <c r="R1180" i="1" s="1"/>
  <c r="R2362" i="1"/>
  <c r="R2364" i="1" s="1"/>
  <c r="R2366" i="1" s="1"/>
  <c r="P2355" i="1" s="1"/>
  <c r="R2355" i="1" s="1"/>
  <c r="S2322" i="1"/>
  <c r="I3279" i="27"/>
  <c r="K3266" i="27"/>
  <c r="R3726" i="1"/>
  <c r="P3718" i="1" s="1"/>
  <c r="R3718" i="1" s="1"/>
  <c r="R3720" i="1" s="1"/>
  <c r="R3721" i="1" s="1"/>
  <c r="C748" i="55" s="1"/>
  <c r="I3322" i="1"/>
  <c r="R3262" i="1"/>
  <c r="AG3670" i="1"/>
  <c r="K769" i="1"/>
  <c r="K771" i="1" s="1"/>
  <c r="I2357" i="1" s="1"/>
  <c r="K778" i="1"/>
  <c r="K793" i="1" s="1"/>
  <c r="K795" i="1" s="1"/>
  <c r="I2873" i="1"/>
  <c r="K2873" i="1" s="1"/>
  <c r="K131" i="1"/>
  <c r="C30" i="55" s="1"/>
  <c r="C29" i="55"/>
  <c r="I3426" i="27"/>
  <c r="I3447" i="27" s="1"/>
  <c r="K3407" i="27"/>
  <c r="R488" i="1"/>
  <c r="R490" i="1" s="1"/>
  <c r="K2324" i="1"/>
  <c r="K2325" i="1" s="1"/>
  <c r="I2330" i="1" s="1"/>
  <c r="K2330" i="1" s="1"/>
  <c r="K2331" i="1" s="1"/>
  <c r="K2332" i="1" s="1"/>
  <c r="C891" i="55" s="1"/>
  <c r="F645" i="64"/>
  <c r="D654" i="64"/>
  <c r="F654" i="64" s="1"/>
  <c r="K2062" i="1"/>
  <c r="K2064" i="1" s="1"/>
  <c r="I1818" i="27"/>
  <c r="K1818" i="27" s="1"/>
  <c r="K1817" i="27"/>
  <c r="K1469" i="27"/>
  <c r="K1471" i="27" s="1"/>
  <c r="D278" i="64"/>
  <c r="F203" i="64"/>
  <c r="K706" i="27"/>
  <c r="I2361" i="27"/>
  <c r="AE3556" i="1"/>
  <c r="AG3556" i="1" s="1"/>
  <c r="W38" i="64"/>
  <c r="W40" i="64" s="1"/>
  <c r="K3700" i="27"/>
  <c r="K3702" i="27" s="1"/>
  <c r="I3028" i="27"/>
  <c r="K3028" i="27" s="1"/>
  <c r="P3503" i="27"/>
  <c r="R3503" i="27" s="1"/>
  <c r="R3507" i="27" s="1"/>
  <c r="R3498" i="27" s="1"/>
  <c r="I2941" i="27"/>
  <c r="K2792" i="27"/>
  <c r="K2794" i="27" s="1"/>
  <c r="I173" i="11"/>
  <c r="K173" i="11" s="1"/>
  <c r="K22" i="11"/>
  <c r="I85" i="11"/>
  <c r="K1801" i="27"/>
  <c r="I1802" i="27"/>
  <c r="K1802" i="27" s="1"/>
  <c r="K1737" i="27"/>
  <c r="K1747" i="27" s="1"/>
  <c r="K1749" i="27" s="1"/>
  <c r="I1803" i="27" s="1"/>
  <c r="K1803" i="27" s="1"/>
  <c r="I1830" i="27"/>
  <c r="K1830" i="27" s="1"/>
  <c r="K1765" i="27"/>
  <c r="K1767" i="27" s="1"/>
  <c r="I1811" i="27" s="1"/>
  <c r="K1811" i="27" s="1"/>
  <c r="D343" i="64"/>
  <c r="F343" i="64" s="1"/>
  <c r="F279" i="64"/>
  <c r="K2854" i="27"/>
  <c r="I3005" i="27"/>
  <c r="K3005" i="27" s="1"/>
  <c r="I2914" i="27"/>
  <c r="I2593" i="27"/>
  <c r="K2593" i="27" s="1"/>
  <c r="K2562" i="27"/>
  <c r="K2369" i="27"/>
  <c r="I2387" i="27"/>
  <c r="K2387" i="27" s="1"/>
  <c r="I2425" i="27"/>
  <c r="E517" i="25"/>
  <c r="G517" i="25" s="1"/>
  <c r="G519" i="25" s="1"/>
  <c r="G520" i="25" s="1"/>
  <c r="G488" i="25"/>
  <c r="I3033" i="27"/>
  <c r="K3033" i="27" s="1"/>
  <c r="I2933" i="27"/>
  <c r="I3159" i="27"/>
  <c r="I3405" i="27"/>
  <c r="K3503" i="27"/>
  <c r="K2910" i="27"/>
  <c r="R521" i="27"/>
  <c r="R523" i="27" s="1"/>
  <c r="R503" i="27"/>
  <c r="R505" i="27" s="1"/>
  <c r="R479" i="27"/>
  <c r="R481" i="27" s="1"/>
  <c r="A206" i="27"/>
  <c r="A207" i="27" s="1"/>
  <c r="A264" i="27"/>
  <c r="A265" i="27" s="1"/>
  <c r="A266" i="27" s="1"/>
  <c r="A267" i="27" s="1"/>
  <c r="A268" i="27" s="1"/>
  <c r="A269" i="27" s="1"/>
  <c r="A270" i="27" s="1"/>
  <c r="A271" i="27" s="1"/>
  <c r="A272" i="27" s="1"/>
  <c r="A273" i="27" s="1"/>
  <c r="A274" i="27" s="1"/>
  <c r="A275" i="27" s="1"/>
  <c r="A276" i="27" s="1"/>
  <c r="A277" i="27" s="1"/>
  <c r="A278" i="27" s="1"/>
  <c r="A279" i="27" s="1"/>
  <c r="A281" i="27" s="1"/>
  <c r="A282" i="27" s="1"/>
  <c r="A283" i="27" s="1"/>
  <c r="A284" i="27" s="1"/>
  <c r="A285" i="27" s="1"/>
  <c r="A286" i="27" s="1"/>
  <c r="A287" i="27" s="1"/>
  <c r="A288" i="27" s="1"/>
  <c r="A289" i="27" s="1"/>
  <c r="A290" i="27" s="1"/>
  <c r="A291" i="27" s="1"/>
  <c r="A292" i="27" s="1"/>
  <c r="A293" i="27" s="1"/>
  <c r="A294" i="27" s="1"/>
  <c r="A295" i="27" s="1"/>
  <c r="A296" i="27" s="1"/>
  <c r="A297" i="27" s="1"/>
  <c r="A298" i="27" s="1"/>
  <c r="A299" i="27" s="1"/>
  <c r="A300" i="27" s="1"/>
  <c r="A301" i="27" s="1"/>
  <c r="A302" i="27" s="1"/>
  <c r="A303" i="27" s="1"/>
  <c r="A304" i="27" s="1"/>
  <c r="A305" i="27" s="1"/>
  <c r="A306" i="27" s="1"/>
  <c r="A307" i="27" s="1"/>
  <c r="A308" i="27" s="1"/>
  <c r="A309" i="27" s="1"/>
  <c r="A310" i="27" s="1"/>
  <c r="A311" i="27" s="1"/>
  <c r="A312" i="27" s="1"/>
  <c r="A313" i="27" s="1"/>
  <c r="A314" i="27" s="1"/>
  <c r="A315" i="27" s="1"/>
  <c r="A316" i="27" s="1"/>
  <c r="A317" i="27" s="1"/>
  <c r="A318" i="27" s="1"/>
  <c r="A319" i="27" s="1"/>
  <c r="A320" i="27" s="1"/>
  <c r="A321" i="27" s="1"/>
  <c r="A322" i="27" s="1"/>
  <c r="A323" i="27" s="1"/>
  <c r="A324" i="27" s="1"/>
  <c r="A325" i="27" s="1"/>
  <c r="A326" i="27" s="1"/>
  <c r="A331" i="27" s="1"/>
  <c r="A332" i="27" s="1"/>
  <c r="A333" i="27" s="1"/>
  <c r="A334" i="27" s="1"/>
  <c r="A335" i="27" s="1"/>
  <c r="A336" i="27" s="1"/>
  <c r="A337" i="27" s="1"/>
  <c r="A338" i="27" s="1"/>
  <c r="A339" i="27" s="1"/>
  <c r="A340" i="27" s="1"/>
  <c r="A341" i="27" s="1"/>
  <c r="A342" i="27" s="1"/>
  <c r="A343" i="27" s="1"/>
  <c r="A344" i="27" s="1"/>
  <c r="A345" i="27" s="1"/>
  <c r="A346" i="27" s="1"/>
  <c r="A347" i="27" s="1"/>
  <c r="A348" i="27" s="1"/>
  <c r="A349" i="27" s="1"/>
  <c r="A350" i="27" s="1"/>
  <c r="A351" i="27" s="1"/>
  <c r="A352" i="27" s="1"/>
  <c r="A353" i="27" s="1"/>
  <c r="A354" i="27" s="1"/>
  <c r="A355" i="27" s="1"/>
  <c r="A356" i="27" s="1"/>
  <c r="A357" i="27" s="1"/>
  <c r="A358" i="27" s="1"/>
  <c r="A359" i="27" s="1"/>
  <c r="A360" i="27" s="1"/>
  <c r="A361" i="27" s="1"/>
  <c r="A362" i="27" s="1"/>
  <c r="A363" i="27" s="1"/>
  <c r="A364" i="27" s="1"/>
  <c r="A365" i="27" s="1"/>
  <c r="A366" i="27" s="1"/>
  <c r="A367" i="27" s="1"/>
  <c r="A368" i="27" s="1"/>
  <c r="A369" i="27" s="1"/>
  <c r="A370" i="27" s="1"/>
  <c r="A371" i="27" s="1"/>
  <c r="A372" i="27" s="1"/>
  <c r="A373" i="27" s="1"/>
  <c r="A374" i="27" s="1"/>
  <c r="A375" i="27" s="1"/>
  <c r="A376" i="27" s="1"/>
  <c r="A377" i="27" s="1"/>
  <c r="A378" i="27" s="1"/>
  <c r="A379" i="27" s="1"/>
  <c r="A380" i="27" s="1"/>
  <c r="A381" i="27" s="1"/>
  <c r="A382" i="27" s="1"/>
  <c r="A383" i="27" s="1"/>
  <c r="A384" i="27" s="1"/>
  <c r="A385" i="27" s="1"/>
  <c r="A386" i="27" s="1"/>
  <c r="A387" i="27" s="1"/>
  <c r="A388" i="27" s="1"/>
  <c r="A389" i="27" s="1"/>
  <c r="A390" i="27" s="1"/>
  <c r="A391" i="27" s="1"/>
  <c r="A392" i="27" s="1"/>
  <c r="A393" i="27" s="1"/>
  <c r="A394" i="27" s="1"/>
  <c r="A395" i="27" s="1"/>
  <c r="A396" i="27" s="1"/>
  <c r="A397" i="27" s="1"/>
  <c r="A398" i="27" s="1"/>
  <c r="A399" i="27" s="1"/>
  <c r="A400" i="27" s="1"/>
  <c r="A401" i="27" s="1"/>
  <c r="A402" i="27" s="1"/>
  <c r="A403" i="27" s="1"/>
  <c r="A404" i="27" s="1"/>
  <c r="A405" i="27" s="1"/>
  <c r="A406" i="27" s="1"/>
  <c r="A407" i="27" s="1"/>
  <c r="A408" i="27" s="1"/>
  <c r="A409" i="27" s="1"/>
  <c r="A410" i="27" s="1"/>
  <c r="A411" i="27" s="1"/>
  <c r="A412" i="27" s="1"/>
  <c r="A413" i="27" s="1"/>
  <c r="A414" i="27" s="1"/>
  <c r="A415" i="27" s="1"/>
  <c r="A416" i="27" s="1"/>
  <c r="A417" i="27" s="1"/>
  <c r="A418" i="27" s="1"/>
  <c r="A419" i="27" s="1"/>
  <c r="A420" i="27" s="1"/>
  <c r="A422" i="27" s="1"/>
  <c r="A423" i="27" s="1"/>
  <c r="A424" i="27" s="1"/>
  <c r="A425" i="27" s="1"/>
  <c r="A426" i="27" s="1"/>
  <c r="A427" i="27" s="1"/>
  <c r="A428" i="27" s="1"/>
  <c r="A429" i="27" s="1"/>
  <c r="A430" i="27" s="1"/>
  <c r="A431" i="27" s="1"/>
  <c r="A432" i="27" s="1"/>
  <c r="A433" i="27" s="1"/>
  <c r="A434" i="27" s="1"/>
  <c r="A435" i="27" s="1"/>
  <c r="A436" i="27" s="1"/>
  <c r="A438" i="27" s="1"/>
  <c r="A439" i="27" s="1"/>
  <c r="A440" i="27" s="1"/>
  <c r="A441" i="27" s="1"/>
  <c r="A442" i="27" s="1"/>
  <c r="A443" i="27" s="1"/>
  <c r="A444" i="27" s="1"/>
  <c r="A445" i="27" s="1"/>
  <c r="A446" i="27" s="1"/>
  <c r="A447" i="27" s="1"/>
  <c r="A448" i="27" s="1"/>
  <c r="A449" i="27" s="1"/>
  <c r="A450" i="27" s="1"/>
  <c r="A451" i="27" s="1"/>
  <c r="A452" i="27" s="1"/>
  <c r="A453" i="27" s="1"/>
  <c r="A454" i="27" s="1"/>
  <c r="A455" i="27" s="1"/>
  <c r="A456" i="27" s="1"/>
  <c r="A457" i="27" s="1"/>
  <c r="A458" i="27" s="1"/>
  <c r="A459" i="27" s="1"/>
  <c r="A460" i="27" s="1"/>
  <c r="A461" i="27" s="1"/>
  <c r="A462" i="27" s="1"/>
  <c r="A463" i="27" s="1"/>
  <c r="A464" i="27" s="1"/>
  <c r="A465" i="27" s="1"/>
  <c r="A466" i="27" s="1"/>
  <c r="A467" i="27" s="1"/>
  <c r="A468" i="27" s="1"/>
  <c r="A469" i="27" s="1"/>
  <c r="A470" i="27" s="1"/>
  <c r="A471" i="27" s="1"/>
  <c r="A472" i="27" s="1"/>
  <c r="A473" i="27" s="1"/>
  <c r="A474" i="27" s="1"/>
  <c r="A475" i="27" s="1"/>
  <c r="A476" i="27" s="1"/>
  <c r="A477" i="27" s="1"/>
  <c r="A478" i="27" s="1"/>
  <c r="A479" i="27" s="1"/>
  <c r="A480" i="27" s="1"/>
  <c r="A481" i="27" s="1"/>
  <c r="A482" i="27" s="1"/>
  <c r="A483" i="27" s="1"/>
  <c r="A484" i="27" s="1"/>
  <c r="A485" i="27" s="1"/>
  <c r="A486" i="27" s="1"/>
  <c r="A487" i="27" s="1"/>
  <c r="A488" i="27" s="1"/>
  <c r="A489" i="27" s="1"/>
  <c r="A491" i="27" s="1"/>
  <c r="A492" i="27" s="1"/>
  <c r="A493" i="27" s="1"/>
  <c r="A494" i="27" s="1"/>
  <c r="A495" i="27" s="1"/>
  <c r="A496" i="27" s="1"/>
  <c r="A497" i="27" s="1"/>
  <c r="A498" i="27" s="1"/>
  <c r="A499" i="27" s="1"/>
  <c r="A500" i="27" s="1"/>
  <c r="A501" i="27" s="1"/>
  <c r="A502" i="27" s="1"/>
  <c r="A503" i="27" s="1"/>
  <c r="A504" i="27" s="1"/>
  <c r="A505" i="27" s="1"/>
  <c r="A506" i="27" s="1"/>
  <c r="A507" i="27" s="1"/>
  <c r="A508" i="27" s="1"/>
  <c r="A509" i="27" s="1"/>
  <c r="A510" i="27" s="1"/>
  <c r="A511" i="27" s="1"/>
  <c r="A512" i="27" s="1"/>
  <c r="A513" i="27" s="1"/>
  <c r="A514" i="27" s="1"/>
  <c r="A515" i="27" s="1"/>
  <c r="A516" i="27" s="1"/>
  <c r="A517" i="27" s="1"/>
  <c r="A518" i="27" s="1"/>
  <c r="A519" i="27" s="1"/>
  <c r="A520" i="27" s="1"/>
  <c r="A521" i="27" s="1"/>
  <c r="A522" i="27" s="1"/>
  <c r="A523" i="27" s="1"/>
  <c r="A524" i="27" s="1"/>
  <c r="A525" i="27" s="1"/>
  <c r="A526" i="27" s="1"/>
  <c r="A527" i="27" s="1"/>
  <c r="A528" i="27" s="1"/>
  <c r="A529" i="27" s="1"/>
  <c r="A530" i="27" s="1"/>
  <c r="A531" i="27" s="1"/>
  <c r="A532" i="27" s="1"/>
  <c r="A533" i="27" s="1"/>
  <c r="A534" i="27" s="1"/>
  <c r="A535" i="27" s="1"/>
  <c r="A536" i="27" s="1"/>
  <c r="A537" i="27" s="1"/>
  <c r="A538" i="27" s="1"/>
  <c r="A539" i="27" s="1"/>
  <c r="A540" i="27" s="1"/>
  <c r="A541" i="27" s="1"/>
  <c r="A542" i="27" s="1"/>
  <c r="A543" i="27" s="1"/>
  <c r="A544" i="27" s="1"/>
  <c r="A545" i="27" s="1"/>
  <c r="A546" i="27" s="1"/>
  <c r="A548" i="27" s="1"/>
  <c r="A549" i="27" s="1"/>
  <c r="A550" i="27" s="1"/>
  <c r="A551" i="27" s="1"/>
  <c r="A552" i="27" s="1"/>
  <c r="A553" i="27" s="1"/>
  <c r="A554" i="27" s="1"/>
  <c r="A555" i="27" s="1"/>
  <c r="A556" i="27" s="1"/>
  <c r="A557" i="27" s="1"/>
  <c r="A558" i="27" s="1"/>
  <c r="A559" i="27" s="1"/>
  <c r="A560" i="27" s="1"/>
  <c r="A561" i="27" s="1"/>
  <c r="A562" i="27" s="1"/>
  <c r="A563" i="27" s="1"/>
  <c r="A564" i="27" s="1"/>
  <c r="A566" i="27" s="1"/>
  <c r="A567" i="27" s="1"/>
  <c r="A568" i="27" s="1"/>
  <c r="A569" i="27" s="1"/>
  <c r="A570" i="27" s="1"/>
  <c r="A571" i="27" s="1"/>
  <c r="A573" i="27" s="1"/>
  <c r="A574" i="27" s="1"/>
  <c r="A575" i="27" s="1"/>
  <c r="A576" i="27" s="1"/>
  <c r="A577" i="27" s="1"/>
  <c r="A578" i="27" s="1"/>
  <c r="A579" i="27" s="1"/>
  <c r="A580" i="27" s="1"/>
  <c r="A581" i="27" s="1"/>
  <c r="A582" i="27" s="1"/>
  <c r="A583" i="27" s="1"/>
  <c r="A584" i="27" s="1"/>
  <c r="A585" i="27" s="1"/>
  <c r="A586" i="27" s="1"/>
  <c r="A588" i="27" s="1"/>
  <c r="A589" i="27" s="1"/>
  <c r="A590" i="27" s="1"/>
  <c r="A591" i="27" s="1"/>
  <c r="A592" i="27" s="1"/>
  <c r="A593" i="27" s="1"/>
  <c r="A594" i="27" s="1"/>
  <c r="A595" i="27" s="1"/>
  <c r="A596" i="27" s="1"/>
  <c r="A597" i="27" s="1"/>
  <c r="A598" i="27" s="1"/>
  <c r="A599" i="27" s="1"/>
  <c r="A600" i="27" s="1"/>
  <c r="A601" i="27" s="1"/>
  <c r="A602" i="27" s="1"/>
  <c r="A603" i="27" s="1"/>
  <c r="A604" i="27" s="1"/>
  <c r="A605" i="27" s="1"/>
  <c r="A606" i="27" s="1"/>
  <c r="A607" i="27" s="1"/>
  <c r="A608" i="27" s="1"/>
  <c r="A609" i="27" s="1"/>
  <c r="A610" i="27" s="1"/>
  <c r="A611" i="27" s="1"/>
  <c r="A612" i="27" s="1"/>
  <c r="A613" i="27" s="1"/>
  <c r="A614" i="27" s="1"/>
  <c r="A616" i="27" s="1"/>
  <c r="A617" i="27" s="1"/>
  <c r="A618" i="27" s="1"/>
  <c r="A619" i="27" s="1"/>
  <c r="A620" i="27" s="1"/>
  <c r="A621" i="27" s="1"/>
  <c r="A622" i="27" s="1"/>
  <c r="A623" i="27" s="1"/>
  <c r="A624" i="27" s="1"/>
  <c r="A625" i="27" s="1"/>
  <c r="A626" i="27" s="1"/>
  <c r="A627" i="27" s="1"/>
  <c r="A628" i="27" s="1"/>
  <c r="A629" i="27" s="1"/>
  <c r="A630" i="27" s="1"/>
  <c r="A631" i="27" s="1"/>
  <c r="A632" i="27" s="1"/>
  <c r="A633" i="27" s="1"/>
  <c r="A634" i="27" s="1"/>
  <c r="A635" i="27" s="1"/>
  <c r="A636" i="27" s="1"/>
  <c r="A637" i="27" s="1"/>
  <c r="A638" i="27" s="1"/>
  <c r="A639" i="27" s="1"/>
  <c r="A640" i="27" s="1"/>
  <c r="A641" i="27" s="1"/>
  <c r="A642" i="27" s="1"/>
  <c r="A643" i="27" s="1"/>
  <c r="A644" i="27" s="1"/>
  <c r="A645" i="27" s="1"/>
  <c r="A646" i="27" s="1"/>
  <c r="A647" i="27" s="1"/>
  <c r="A648" i="27" s="1"/>
  <c r="A649" i="27" s="1"/>
  <c r="A650" i="27" s="1"/>
  <c r="A651" i="27" s="1"/>
  <c r="A652" i="27" s="1"/>
  <c r="A653" i="27" s="1"/>
  <c r="A654" i="27" s="1"/>
  <c r="A655" i="27" s="1"/>
  <c r="A656" i="27" s="1"/>
  <c r="A657" i="27" s="1"/>
  <c r="A658" i="27" s="1"/>
  <c r="A659" i="27" s="1"/>
  <c r="A660" i="27" s="1"/>
  <c r="A661" i="27" s="1"/>
  <c r="A662" i="27" s="1"/>
  <c r="A663" i="27" s="1"/>
  <c r="A664" i="27" s="1"/>
  <c r="A665" i="27" s="1"/>
  <c r="A666" i="27" s="1"/>
  <c r="A667" i="27" s="1"/>
  <c r="A668" i="27" s="1"/>
  <c r="A669" i="27" s="1"/>
  <c r="A670" i="27" s="1"/>
  <c r="A671" i="27" s="1"/>
  <c r="A672" i="27" s="1"/>
  <c r="A673" i="27" s="1"/>
  <c r="A675" i="27" s="1"/>
  <c r="A676" i="27" s="1"/>
  <c r="A677" i="27" s="1"/>
  <c r="A678" i="27" s="1"/>
  <c r="A679" i="27" s="1"/>
  <c r="A680" i="27" s="1"/>
  <c r="A681" i="27" s="1"/>
  <c r="A682" i="27" s="1"/>
  <c r="A683" i="27" s="1"/>
  <c r="A684" i="27" s="1"/>
  <c r="A685" i="27" s="1"/>
  <c r="A686" i="27" s="1"/>
  <c r="A687" i="27" s="1"/>
  <c r="A688" i="27" s="1"/>
  <c r="A689" i="27" s="1"/>
  <c r="A690" i="27" s="1"/>
  <c r="A691" i="27" s="1"/>
  <c r="A692" i="27" s="1"/>
  <c r="A693" i="27" s="1"/>
  <c r="A694" i="27" s="1"/>
  <c r="A695" i="27" s="1"/>
  <c r="A696" i="27" s="1"/>
  <c r="A697" i="27" s="1"/>
  <c r="A698" i="27" s="1"/>
  <c r="A699" i="27" s="1"/>
  <c r="A700" i="27" s="1"/>
  <c r="A701" i="27" s="1"/>
  <c r="A702" i="27" s="1"/>
  <c r="A703" i="27" s="1"/>
  <c r="A704" i="27" s="1"/>
  <c r="A705" i="27" s="1"/>
  <c r="A706" i="27" s="1"/>
  <c r="A707" i="27" s="1"/>
  <c r="A708" i="27" s="1"/>
  <c r="A709" i="27" s="1"/>
  <c r="A710" i="27" s="1"/>
  <c r="A711" i="27" s="1"/>
  <c r="A712" i="27" s="1"/>
  <c r="A713" i="27" s="1"/>
  <c r="A714" i="27" s="1"/>
  <c r="A715" i="27" s="1"/>
  <c r="A716" i="27" s="1"/>
  <c r="A717" i="27" s="1"/>
  <c r="A718" i="27" s="1"/>
  <c r="A719" i="27" s="1"/>
  <c r="A720" i="27" s="1"/>
  <c r="A721" i="27" s="1"/>
  <c r="A722" i="27" s="1"/>
  <c r="A723" i="27" s="1"/>
  <c r="A724" i="27" s="1"/>
  <c r="A725" i="27" s="1"/>
  <c r="A726" i="27" s="1"/>
  <c r="A727" i="27" s="1"/>
  <c r="A728" i="27" s="1"/>
  <c r="A729" i="27" s="1"/>
  <c r="A730" i="27" s="1"/>
  <c r="A731" i="27" s="1"/>
  <c r="A732" i="27" s="1"/>
  <c r="A733" i="27" s="1"/>
  <c r="A735" i="27" s="1"/>
  <c r="A736" i="27" s="1"/>
  <c r="A737" i="27" s="1"/>
  <c r="A738" i="27" s="1"/>
  <c r="A739" i="27" s="1"/>
  <c r="A740" i="27" s="1"/>
  <c r="A741" i="27" s="1"/>
  <c r="A742" i="27" s="1"/>
  <c r="A743" i="27" s="1"/>
  <c r="A744" i="27" s="1"/>
  <c r="A745" i="27" s="1"/>
  <c r="A746" i="27" s="1"/>
  <c r="A747" i="27" s="1"/>
  <c r="A748" i="27" s="1"/>
  <c r="A749" i="27" s="1"/>
  <c r="A750" i="27" s="1"/>
  <c r="A751" i="27" s="1"/>
  <c r="A752" i="27" s="1"/>
  <c r="A753" i="27" s="1"/>
  <c r="F148" i="50"/>
  <c r="K2225" i="27"/>
  <c r="K2227" i="27" s="1"/>
  <c r="K1870" i="27"/>
  <c r="R858" i="27"/>
  <c r="R860" i="27" s="1"/>
  <c r="K3053" i="27"/>
  <c r="I3889" i="27"/>
  <c r="K1809" i="27"/>
  <c r="I1810" i="27"/>
  <c r="K1810" i="27" s="1"/>
  <c r="A25" i="50"/>
  <c r="K2829" i="27"/>
  <c r="K2830" i="27" s="1"/>
  <c r="I2819" i="27" s="1"/>
  <c r="K2819" i="27" s="1"/>
  <c r="K2822" i="27" s="1"/>
  <c r="K2739" i="27"/>
  <c r="K2727" i="27"/>
  <c r="K2728" i="27" s="1"/>
  <c r="K2717" i="27" s="1"/>
  <c r="K2720" i="27" s="1"/>
  <c r="K1566" i="27"/>
  <c r="K1569" i="27" s="1"/>
  <c r="K3494" i="27"/>
  <c r="I3532" i="27"/>
  <c r="K3532" i="27" s="1"/>
  <c r="K1087" i="27"/>
  <c r="I2264" i="27"/>
  <c r="K708" i="27"/>
  <c r="I2362" i="27"/>
  <c r="F148" i="32"/>
  <c r="F89" i="32"/>
  <c r="F92" i="32" s="1"/>
  <c r="C585" i="55" s="1"/>
  <c r="K2502" i="27"/>
  <c r="K2241" i="27"/>
  <c r="K1601" i="27"/>
  <c r="K686" i="27"/>
  <c r="I688" i="27" s="1"/>
  <c r="K688" i="27" s="1"/>
  <c r="K693" i="27" s="1"/>
  <c r="K695" i="27" s="1"/>
  <c r="K764" i="27" s="1"/>
  <c r="K667" i="27"/>
  <c r="K669" i="27" s="1"/>
  <c r="K670" i="27" s="1"/>
  <c r="K671" i="27" s="1"/>
  <c r="K672" i="27" s="1"/>
  <c r="K673" i="27" s="1"/>
  <c r="R461" i="27"/>
  <c r="R463" i="27" s="1"/>
  <c r="I2625" i="27"/>
  <c r="K2625" i="27" s="1"/>
  <c r="I2607" i="27"/>
  <c r="K2607" i="27" s="1"/>
  <c r="I2428" i="27"/>
  <c r="I2101" i="27"/>
  <c r="K2101" i="27" s="1"/>
  <c r="K2103" i="27" s="1"/>
  <c r="K2105" i="27" s="1"/>
  <c r="K2107" i="27" s="1"/>
  <c r="I2002" i="27"/>
  <c r="K2002" i="27" s="1"/>
  <c r="I1978" i="27"/>
  <c r="K1978" i="27" s="1"/>
  <c r="I1954" i="27"/>
  <c r="K1954" i="27" s="1"/>
  <c r="I1949" i="27"/>
  <c r="K1949" i="27" s="1"/>
  <c r="I1935" i="27"/>
  <c r="K1935" i="27" s="1"/>
  <c r="I1930" i="27"/>
  <c r="K1930" i="27" s="1"/>
  <c r="I1834" i="27"/>
  <c r="K1834" i="27" s="1"/>
  <c r="I1832" i="27"/>
  <c r="K1832" i="27" s="1"/>
  <c r="I1578" i="27"/>
  <c r="K1578" i="27" s="1"/>
  <c r="I1438" i="27"/>
  <c r="K1438" i="27" s="1"/>
  <c r="I1422" i="27"/>
  <c r="K1422" i="27" s="1"/>
  <c r="I1410" i="27"/>
  <c r="K1410" i="27" s="1"/>
  <c r="I1397" i="27"/>
  <c r="K1397" i="27" s="1"/>
  <c r="I1385" i="27"/>
  <c r="K1385" i="27" s="1"/>
  <c r="I1365" i="27"/>
  <c r="K1365" i="27" s="1"/>
  <c r="I1351" i="27"/>
  <c r="K1351" i="27" s="1"/>
  <c r="I1338" i="27"/>
  <c r="K1338" i="27" s="1"/>
  <c r="I1326" i="27"/>
  <c r="K1326" i="27" s="1"/>
  <c r="I1312" i="27"/>
  <c r="K1312" i="27" s="1"/>
  <c r="I1290" i="27"/>
  <c r="K1290" i="27" s="1"/>
  <c r="I1270" i="27"/>
  <c r="K1270" i="27" s="1"/>
  <c r="I1255" i="27"/>
  <c r="K1255" i="27" s="1"/>
  <c r="I1238" i="27"/>
  <c r="K1238" i="27" s="1"/>
  <c r="I1222" i="27"/>
  <c r="K1222" i="27" s="1"/>
  <c r="I1208" i="27"/>
  <c r="K1208" i="27" s="1"/>
  <c r="I1202" i="27"/>
  <c r="K1202" i="27" s="1"/>
  <c r="I1177" i="27"/>
  <c r="K1177" i="27" s="1"/>
  <c r="I1173" i="27"/>
  <c r="K1173" i="27" s="1"/>
  <c r="I1156" i="27"/>
  <c r="K1156" i="27" s="1"/>
  <c r="I1117" i="27"/>
  <c r="K1117" i="27" s="1"/>
  <c r="K1120" i="27" s="1"/>
  <c r="K1122" i="27" s="1"/>
  <c r="I1103" i="27"/>
  <c r="K1103" i="27" s="1"/>
  <c r="I1014" i="27"/>
  <c r="I978" i="27"/>
  <c r="K978" i="27" s="1"/>
  <c r="K986" i="27" s="1"/>
  <c r="K988" i="27" s="1"/>
  <c r="I914" i="27"/>
  <c r="I857" i="27"/>
  <c r="K857" i="27" s="1"/>
  <c r="I839" i="27"/>
  <c r="K839" i="27" s="1"/>
  <c r="I748" i="27"/>
  <c r="K748" i="27" s="1"/>
  <c r="I623" i="27"/>
  <c r="K623" i="27" s="1"/>
  <c r="I593" i="27"/>
  <c r="K593" i="27" s="1"/>
  <c r="I576" i="27"/>
  <c r="K576" i="27" s="1"/>
  <c r="I519" i="27"/>
  <c r="K519" i="27" s="1"/>
  <c r="K507" i="27"/>
  <c r="I394" i="27"/>
  <c r="K394" i="27" s="1"/>
  <c r="P391" i="27"/>
  <c r="R391" i="27" s="1"/>
  <c r="I381" i="27"/>
  <c r="K381" i="27" s="1"/>
  <c r="P377" i="27"/>
  <c r="R377" i="27" s="1"/>
  <c r="P308" i="27"/>
  <c r="R308" i="27" s="1"/>
  <c r="P297" i="27"/>
  <c r="R297" i="27" s="1"/>
  <c r="P296" i="27"/>
  <c r="R296" i="27" s="1"/>
  <c r="P285" i="27"/>
  <c r="R285" i="27" s="1"/>
  <c r="I227" i="27"/>
  <c r="K227" i="27" s="1"/>
  <c r="I212" i="27"/>
  <c r="K212" i="27" s="1"/>
  <c r="I211" i="27"/>
  <c r="K211" i="27" s="1"/>
  <c r="I197" i="27"/>
  <c r="K197" i="27" s="1"/>
  <c r="P191" i="27"/>
  <c r="R191" i="27" s="1"/>
  <c r="C138" i="27"/>
  <c r="D303" i="25"/>
  <c r="F303" i="25" s="1"/>
  <c r="D160" i="25"/>
  <c r="F160" i="25" s="1"/>
  <c r="D278" i="32"/>
  <c r="F278" i="32" s="1"/>
  <c r="D235" i="32"/>
  <c r="F235" i="32" s="1"/>
  <c r="F197" i="32"/>
  <c r="F199" i="32" s="1"/>
  <c r="I2624" i="27"/>
  <c r="K2624" i="27" s="1"/>
  <c r="I2606" i="27"/>
  <c r="K2606" i="27" s="1"/>
  <c r="K2609" i="27" s="1"/>
  <c r="I2466" i="27"/>
  <c r="K2466" i="27" s="1"/>
  <c r="I2372" i="27"/>
  <c r="I2327" i="27"/>
  <c r="K2327" i="27" s="1"/>
  <c r="K2332" i="27" s="1"/>
  <c r="K2336" i="27" s="1"/>
  <c r="I2307" i="27"/>
  <c r="K2307" i="27" s="1"/>
  <c r="I2088" i="27"/>
  <c r="K2088" i="27" s="1"/>
  <c r="K2090" i="27" s="1"/>
  <c r="K2092" i="27" s="1"/>
  <c r="I2075" i="27"/>
  <c r="K2075" i="27" s="1"/>
  <c r="K2077" i="27" s="1"/>
  <c r="I2030" i="27"/>
  <c r="K2030" i="27" s="1"/>
  <c r="I2001" i="27"/>
  <c r="K2001" i="27" s="1"/>
  <c r="I1977" i="27"/>
  <c r="K1977" i="27" s="1"/>
  <c r="I1833" i="27"/>
  <c r="K1833" i="27" s="1"/>
  <c r="I1681" i="27"/>
  <c r="K1681" i="27" s="1"/>
  <c r="I1577" i="27"/>
  <c r="K1577" i="27" s="1"/>
  <c r="I1437" i="27"/>
  <c r="K1437" i="27" s="1"/>
  <c r="I1423" i="27"/>
  <c r="K1423" i="27" s="1"/>
  <c r="I1411" i="27"/>
  <c r="K1411" i="27" s="1"/>
  <c r="I1398" i="27"/>
  <c r="K1398" i="27" s="1"/>
  <c r="I1386" i="27"/>
  <c r="K1386" i="27" s="1"/>
  <c r="I1366" i="27"/>
  <c r="K1366" i="27" s="1"/>
  <c r="I1350" i="27"/>
  <c r="K1350" i="27" s="1"/>
  <c r="I1339" i="27"/>
  <c r="K1339" i="27" s="1"/>
  <c r="I1325" i="27"/>
  <c r="K1325" i="27" s="1"/>
  <c r="I1313" i="27"/>
  <c r="K1313" i="27" s="1"/>
  <c r="I1311" i="27"/>
  <c r="K1311" i="27" s="1"/>
  <c r="I1291" i="27"/>
  <c r="K1291" i="27" s="1"/>
  <c r="I1289" i="27"/>
  <c r="K1289" i="27" s="1"/>
  <c r="I1269" i="27"/>
  <c r="K1269" i="27" s="1"/>
  <c r="I1256" i="27"/>
  <c r="K1256" i="27" s="1"/>
  <c r="I1237" i="27"/>
  <c r="K1237" i="27" s="1"/>
  <c r="I1223" i="27"/>
  <c r="K1223" i="27" s="1"/>
  <c r="I1207" i="27"/>
  <c r="K1207" i="27" s="1"/>
  <c r="I1203" i="27"/>
  <c r="K1203" i="27" s="1"/>
  <c r="I1201" i="27"/>
  <c r="K1201" i="27" s="1"/>
  <c r="I1178" i="27"/>
  <c r="K1178" i="27" s="1"/>
  <c r="I1174" i="27"/>
  <c r="K1174" i="27" s="1"/>
  <c r="I1172" i="27"/>
  <c r="K1172" i="27" s="1"/>
  <c r="I1157" i="27"/>
  <c r="K1157" i="27" s="1"/>
  <c r="I1104" i="27"/>
  <c r="K1104" i="27" s="1"/>
  <c r="I858" i="27"/>
  <c r="K858" i="27" s="1"/>
  <c r="I749" i="27"/>
  <c r="K749" i="27" s="1"/>
  <c r="I726" i="27"/>
  <c r="K726" i="27" s="1"/>
  <c r="P630" i="27"/>
  <c r="R630" i="27" s="1"/>
  <c r="I622" i="27"/>
  <c r="K622" i="27" s="1"/>
  <c r="P618" i="27"/>
  <c r="R618" i="27" s="1"/>
  <c r="R623" i="27" s="1"/>
  <c r="I577" i="27"/>
  <c r="K577" i="27" s="1"/>
  <c r="I520" i="27"/>
  <c r="K520" i="27" s="1"/>
  <c r="P390" i="27"/>
  <c r="R390" i="27" s="1"/>
  <c r="I382" i="27"/>
  <c r="K382" i="27" s="1"/>
  <c r="I380" i="27"/>
  <c r="K380" i="27" s="1"/>
  <c r="P376" i="27"/>
  <c r="R376" i="27" s="1"/>
  <c r="P307" i="27"/>
  <c r="R307" i="27" s="1"/>
  <c r="I299" i="27"/>
  <c r="K299" i="27" s="1"/>
  <c r="I298" i="27"/>
  <c r="K298" i="27" s="1"/>
  <c r="P284" i="27"/>
  <c r="R284" i="27" s="1"/>
  <c r="I243" i="27"/>
  <c r="K243" i="27" s="1"/>
  <c r="I226" i="27"/>
  <c r="K226" i="27" s="1"/>
  <c r="P192" i="27"/>
  <c r="R192" i="27" s="1"/>
  <c r="F548" i="25"/>
  <c r="D302" i="25"/>
  <c r="F302" i="25" s="1"/>
  <c r="D159" i="25"/>
  <c r="F159" i="25" s="1"/>
  <c r="F482" i="64"/>
  <c r="AP33" i="64"/>
  <c r="AR33" i="64" s="1"/>
  <c r="AP17" i="64"/>
  <c r="AR17" i="64" s="1"/>
  <c r="F147" i="64"/>
  <c r="F122" i="64"/>
  <c r="D415" i="64"/>
  <c r="D293" i="64"/>
  <c r="F293" i="64" s="1"/>
  <c r="I157" i="1"/>
  <c r="K157" i="1" s="1"/>
  <c r="I46" i="1"/>
  <c r="I11" i="1"/>
  <c r="F291" i="64"/>
  <c r="F414" i="64"/>
  <c r="F12" i="64"/>
  <c r="F13" i="64" s="1"/>
  <c r="G13" i="64" s="1"/>
  <c r="D140" i="64"/>
  <c r="F42" i="64"/>
  <c r="F73" i="64" s="1"/>
  <c r="F148" i="64"/>
  <c r="F202" i="64"/>
  <c r="F277" i="64"/>
  <c r="D283" i="64"/>
  <c r="F283" i="64" s="1"/>
  <c r="F530" i="64"/>
  <c r="D592" i="64"/>
  <c r="E226" i="32"/>
  <c r="F226" i="32" s="1"/>
  <c r="E269" i="32"/>
  <c r="F269" i="32" s="1"/>
  <c r="K957" i="1"/>
  <c r="P950" i="1"/>
  <c r="R950" i="1" s="1"/>
  <c r="P1070" i="1"/>
  <c r="P993" i="1"/>
  <c r="R993" i="1" s="1"/>
  <c r="X1359" i="1"/>
  <c r="AB1357" i="1"/>
  <c r="X1361" i="1"/>
  <c r="AB1359" i="1"/>
  <c r="AE2625" i="1"/>
  <c r="AG2625" i="1" s="1"/>
  <c r="X2611" i="1"/>
  <c r="AE2659" i="1"/>
  <c r="AG2659" i="1" s="1"/>
  <c r="P3162" i="1"/>
  <c r="K3155" i="1"/>
  <c r="R3159" i="1"/>
  <c r="P3195" i="1"/>
  <c r="I3329" i="1"/>
  <c r="I3431" i="1" s="1"/>
  <c r="V3259" i="1"/>
  <c r="X3259" i="1" s="1"/>
  <c r="K3367" i="1"/>
  <c r="K3371" i="1" s="1"/>
  <c r="K3372" i="1" s="1"/>
  <c r="C1515" i="55" s="1"/>
  <c r="I3354" i="1"/>
  <c r="D234" i="32"/>
  <c r="F234" i="32" s="1"/>
  <c r="F237" i="32" s="1"/>
  <c r="E271" i="32"/>
  <c r="F271" i="32" s="1"/>
  <c r="C254" i="32"/>
  <c r="C255" i="32"/>
  <c r="X15" i="1"/>
  <c r="X17" i="1" s="1"/>
  <c r="I3006" i="1"/>
  <c r="K3006" i="1" s="1"/>
  <c r="C30" i="1"/>
  <c r="P2863" i="1"/>
  <c r="R2863" i="1" s="1"/>
  <c r="K3075" i="1"/>
  <c r="P3149" i="1"/>
  <c r="M3156" i="1" s="1"/>
  <c r="R3156" i="1" s="1"/>
  <c r="I3959" i="1"/>
  <c r="R44" i="11"/>
  <c r="R46" i="11" s="1"/>
  <c r="K1026" i="1"/>
  <c r="P1100" i="1"/>
  <c r="V1395" i="1"/>
  <c r="X1378" i="1"/>
  <c r="V1356" i="1"/>
  <c r="P1412" i="1"/>
  <c r="R1413" i="1"/>
  <c r="P1430" i="1"/>
  <c r="K1627" i="1"/>
  <c r="P1629" i="1"/>
  <c r="K3328" i="1"/>
  <c r="I3397" i="1"/>
  <c r="I3430" i="1" s="1"/>
  <c r="F189" i="32"/>
  <c r="F192" i="32" s="1"/>
  <c r="E227" i="32"/>
  <c r="D277" i="32"/>
  <c r="F277" i="32" s="1"/>
  <c r="P951" i="1"/>
  <c r="R951" i="1" s="1"/>
  <c r="K958" i="1"/>
  <c r="R1604" i="1"/>
  <c r="P1616" i="1"/>
  <c r="R1616" i="1" s="1"/>
  <c r="K2025" i="1"/>
  <c r="P2025" i="1"/>
  <c r="R2025" i="1" s="1"/>
  <c r="K2671" i="1"/>
  <c r="P2678" i="1"/>
  <c r="I3109" i="1"/>
  <c r="K2971" i="1"/>
  <c r="P2978" i="1"/>
  <c r="R2978" i="1" s="1"/>
  <c r="I3396" i="1"/>
  <c r="I3429" i="1" s="1"/>
  <c r="K3429" i="1" s="1"/>
  <c r="K3327" i="1"/>
  <c r="A227" i="32"/>
  <c r="A228" i="32" s="1"/>
  <c r="F228" i="32" s="1"/>
  <c r="C10" i="1"/>
  <c r="D31" i="1"/>
  <c r="V82" i="1"/>
  <c r="AF685" i="1"/>
  <c r="AF687" i="1" s="1"/>
  <c r="K705" i="1"/>
  <c r="I707" i="1" s="1"/>
  <c r="K707" i="1" s="1"/>
  <c r="P2062" i="1"/>
  <c r="K2887" i="1"/>
  <c r="K2889" i="1" s="1"/>
  <c r="C684" i="55" s="1"/>
  <c r="V3110" i="1"/>
  <c r="K4068" i="1"/>
  <c r="K1102" i="11"/>
  <c r="I1116" i="11" s="1"/>
  <c r="K1116" i="11" s="1"/>
  <c r="AI532" i="1"/>
  <c r="AI556" i="1" s="1"/>
  <c r="AB556" i="1"/>
  <c r="K961" i="1"/>
  <c r="P954" i="1"/>
  <c r="K993" i="1"/>
  <c r="I2839" i="1"/>
  <c r="K1022" i="1"/>
  <c r="P1096" i="1"/>
  <c r="P3296" i="1"/>
  <c r="R3229" i="1"/>
  <c r="P3263" i="1"/>
  <c r="K3326" i="1"/>
  <c r="I3395" i="1"/>
  <c r="K3527" i="1"/>
  <c r="P3531" i="1"/>
  <c r="R3531" i="1" s="1"/>
  <c r="I3543" i="1"/>
  <c r="K3530" i="1"/>
  <c r="P3534" i="1"/>
  <c r="R3534" i="1" s="1"/>
  <c r="I504" i="11"/>
  <c r="K391" i="11"/>
  <c r="I387" i="11" s="1"/>
  <c r="K387" i="11" s="1"/>
  <c r="I1092" i="1"/>
  <c r="K1092" i="1" s="1"/>
  <c r="V1374" i="1"/>
  <c r="K3792" i="1"/>
  <c r="K3793" i="1" s="1"/>
  <c r="C920" i="55" s="1"/>
  <c r="H3849" i="1"/>
  <c r="K882" i="1"/>
  <c r="K994" i="1"/>
  <c r="K997" i="1"/>
  <c r="K1631" i="1"/>
  <c r="K1923" i="1"/>
  <c r="K1987" i="1"/>
  <c r="K2610" i="1"/>
  <c r="K2642" i="1"/>
  <c r="P3160" i="1"/>
  <c r="R3160" i="1" s="1"/>
  <c r="K3942" i="1"/>
  <c r="K3944" i="1"/>
  <c r="K15" i="11"/>
  <c r="I175" i="11"/>
  <c r="K175" i="11" s="1"/>
  <c r="I84" i="11"/>
  <c r="I209" i="11"/>
  <c r="K209" i="11" s="1"/>
  <c r="I851" i="11"/>
  <c r="K376" i="11"/>
  <c r="K379" i="11" s="1"/>
  <c r="K521" i="11"/>
  <c r="I834" i="11"/>
  <c r="K674" i="11"/>
  <c r="K676" i="11" s="1"/>
  <c r="K783" i="11"/>
  <c r="K760" i="11"/>
  <c r="K761" i="11" s="1"/>
  <c r="K751" i="11" s="1"/>
  <c r="K752" i="11" s="1"/>
  <c r="AE2652" i="1"/>
  <c r="AG2652" i="1" s="1"/>
  <c r="P3333" i="1"/>
  <c r="R3333" i="1" s="1"/>
  <c r="V882" i="1"/>
  <c r="K3378" i="27"/>
  <c r="K3379" i="27" s="1"/>
  <c r="K3347" i="27"/>
  <c r="K3348" i="27" s="1"/>
  <c r="K2192" i="27"/>
  <c r="L3135" i="27"/>
  <c r="K3426" i="27"/>
  <c r="D60" i="25"/>
  <c r="F60" i="25" s="1"/>
  <c r="F38" i="25"/>
  <c r="K2975" i="27"/>
  <c r="K2942" i="27"/>
  <c r="K3060" i="27" s="1"/>
  <c r="K3076" i="27" s="1"/>
  <c r="I3122" i="27"/>
  <c r="K3116" i="27" s="1"/>
  <c r="R3116" i="27" s="1"/>
  <c r="R3130" i="27" s="1"/>
  <c r="H3123" i="27"/>
  <c r="I2934" i="27"/>
  <c r="K2908" i="27"/>
  <c r="I3031" i="27"/>
  <c r="K3031" i="27" s="1"/>
  <c r="I3054" i="27"/>
  <c r="K2936" i="27"/>
  <c r="G218" i="25"/>
  <c r="D692" i="25"/>
  <c r="F692" i="25" s="1"/>
  <c r="I3623" i="27"/>
  <c r="K3504" i="27"/>
  <c r="I2938" i="27"/>
  <c r="K523" i="11"/>
  <c r="I3406" i="27"/>
  <c r="K1957" i="27" l="1"/>
  <c r="C353" i="55"/>
  <c r="K444" i="11"/>
  <c r="F27" i="79"/>
  <c r="K2996" i="27"/>
  <c r="I3682" i="27"/>
  <c r="P1490" i="1"/>
  <c r="P1476" i="1"/>
  <c r="K2008" i="27"/>
  <c r="K2010" i="27" s="1"/>
  <c r="K4009" i="1"/>
  <c r="I4024" i="1"/>
  <c r="D477" i="81"/>
  <c r="F477" i="81" s="1"/>
  <c r="D399" i="81"/>
  <c r="F399" i="81" s="1"/>
  <c r="F26" i="79"/>
  <c r="K3039" i="1"/>
  <c r="C695" i="55" s="1"/>
  <c r="F429" i="81"/>
  <c r="D440" i="81"/>
  <c r="F440" i="81" s="1"/>
  <c r="D589" i="25"/>
  <c r="C727" i="55"/>
  <c r="D45" i="79"/>
  <c r="F45" i="79" s="1"/>
  <c r="P404" i="1"/>
  <c r="R404" i="1" s="1"/>
  <c r="D47" i="79"/>
  <c r="F47" i="79" s="1"/>
  <c r="K3267" i="27"/>
  <c r="I3280" i="27"/>
  <c r="P2892" i="27"/>
  <c r="R2892" i="27" s="1"/>
  <c r="K390" i="11"/>
  <c r="K2277" i="1" s="1"/>
  <c r="C431" i="55" s="1"/>
  <c r="K3831" i="27"/>
  <c r="R2303" i="1"/>
  <c r="R2305" i="1" s="1"/>
  <c r="F88" i="50"/>
  <c r="AR402" i="1"/>
  <c r="AR403" i="1" s="1"/>
  <c r="AR404" i="1" s="1"/>
  <c r="AR405" i="1" s="1"/>
  <c r="AR406" i="1" s="1"/>
  <c r="AR407" i="1" s="1"/>
  <c r="K3150" i="1"/>
  <c r="P3157" i="1"/>
  <c r="R3157" i="1" s="1"/>
  <c r="P1068" i="1"/>
  <c r="R1068" i="1" s="1"/>
  <c r="P1050" i="1"/>
  <c r="R1050" i="1" s="1"/>
  <c r="L83" i="1"/>
  <c r="K83" i="1"/>
  <c r="K82" i="1"/>
  <c r="K87" i="1" s="1"/>
  <c r="K89" i="1" s="1"/>
  <c r="K3661" i="1"/>
  <c r="R1970" i="1"/>
  <c r="P1971" i="1"/>
  <c r="I97" i="1"/>
  <c r="R1971" i="1"/>
  <c r="K1180" i="1"/>
  <c r="K1184" i="1" s="1"/>
  <c r="K1186" i="1" s="1"/>
  <c r="C306" i="55" s="1"/>
  <c r="D28" i="79" s="1"/>
  <c r="F28" i="79" s="1"/>
  <c r="AS3106" i="1"/>
  <c r="AS3110" i="1" s="1"/>
  <c r="R1973" i="1"/>
  <c r="K1944" i="1"/>
  <c r="I3565" i="1"/>
  <c r="K2715" i="1"/>
  <c r="X713" i="1"/>
  <c r="Z713" i="1" s="1"/>
  <c r="D48" i="32"/>
  <c r="K2386" i="1"/>
  <c r="K2716" i="1"/>
  <c r="K2717" i="1" s="1"/>
  <c r="C670" i="55" s="1"/>
  <c r="P862" i="1"/>
  <c r="R862" i="1" s="1"/>
  <c r="I3930" i="1"/>
  <c r="R1975" i="1"/>
  <c r="K2997" i="1"/>
  <c r="I2902" i="1"/>
  <c r="K2902" i="1" s="1"/>
  <c r="K508" i="1"/>
  <c r="AK555" i="1"/>
  <c r="K2350" i="1"/>
  <c r="K2352" i="1" s="1"/>
  <c r="K2353" i="1" s="1"/>
  <c r="K2354" i="1" s="1"/>
  <c r="C819" i="55" s="1"/>
  <c r="I3579" i="1"/>
  <c r="P1178" i="1"/>
  <c r="R1178" i="1" s="1"/>
  <c r="R1147" i="1"/>
  <c r="K2400" i="1"/>
  <c r="I2412" i="1"/>
  <c r="K2412" i="1" s="1"/>
  <c r="V820" i="1"/>
  <c r="X820" i="1" s="1"/>
  <c r="R1974" i="1"/>
  <c r="R1995" i="1"/>
  <c r="AD646" i="1"/>
  <c r="AF646" i="1" s="1"/>
  <c r="AE428" i="1"/>
  <c r="AG428" i="1" s="1"/>
  <c r="C348" i="55"/>
  <c r="D69" i="79" s="1"/>
  <c r="F69" i="79" s="1"/>
  <c r="K811" i="1"/>
  <c r="K1354" i="1"/>
  <c r="I3641" i="1"/>
  <c r="K3641" i="1" s="1"/>
  <c r="R1145" i="1"/>
  <c r="K2426" i="1"/>
  <c r="K809" i="1"/>
  <c r="I1256" i="1"/>
  <c r="I35" i="1"/>
  <c r="K1562" i="1"/>
  <c r="K1568" i="1" s="1"/>
  <c r="C455" i="55" s="1"/>
  <c r="K3354" i="1"/>
  <c r="C640" i="55"/>
  <c r="I2575" i="1"/>
  <c r="K2540" i="1"/>
  <c r="I1544" i="27"/>
  <c r="K1544" i="27" s="1"/>
  <c r="K1549" i="27" s="1"/>
  <c r="K1551" i="27" s="1"/>
  <c r="I1517" i="27"/>
  <c r="K1517" i="27" s="1"/>
  <c r="K2262" i="27"/>
  <c r="I2664" i="27"/>
  <c r="K2664" i="27" s="1"/>
  <c r="P1498" i="1"/>
  <c r="R1467" i="1"/>
  <c r="D108" i="50"/>
  <c r="F108" i="50" s="1"/>
  <c r="F45" i="50"/>
  <c r="R1070" i="1"/>
  <c r="F280" i="32"/>
  <c r="R1629" i="1"/>
  <c r="K3889" i="27"/>
  <c r="R378" i="11"/>
  <c r="R379" i="11" s="1"/>
  <c r="R2010" i="1"/>
  <c r="K3809" i="27"/>
  <c r="K3874" i="27" s="1"/>
  <c r="R2011" i="1"/>
  <c r="K64" i="1"/>
  <c r="I3483" i="1"/>
  <c r="K3483" i="1" s="1"/>
  <c r="I2573" i="1"/>
  <c r="K2538" i="1"/>
  <c r="R2852" i="27"/>
  <c r="P2885" i="27"/>
  <c r="R2885" i="27" s="1"/>
  <c r="K3810" i="27"/>
  <c r="R2515" i="1"/>
  <c r="D410" i="64"/>
  <c r="F287" i="64"/>
  <c r="K3531" i="1"/>
  <c r="I3547" i="1"/>
  <c r="P3535" i="1"/>
  <c r="R3535" i="1" s="1"/>
  <c r="K959" i="11"/>
  <c r="AD555" i="1"/>
  <c r="R541" i="27"/>
  <c r="R543" i="27" s="1"/>
  <c r="K3912" i="27"/>
  <c r="R1634" i="1"/>
  <c r="K3643" i="1"/>
  <c r="K54" i="1"/>
  <c r="K3644" i="1"/>
  <c r="I3997" i="1"/>
  <c r="R1072" i="1"/>
  <c r="K44" i="1"/>
  <c r="K446" i="11"/>
  <c r="R1994" i="1"/>
  <c r="I3049" i="27"/>
  <c r="K2931" i="27"/>
  <c r="I2951" i="27"/>
  <c r="K3247" i="27"/>
  <c r="K3250" i="27" s="1"/>
  <c r="K3251" i="27" s="1"/>
  <c r="K3243" i="27" s="1"/>
  <c r="K3244" i="27" s="1"/>
  <c r="I3265" i="27"/>
  <c r="R3405" i="1"/>
  <c r="P3449" i="1"/>
  <c r="K223" i="11"/>
  <c r="I1069" i="11"/>
  <c r="K1069" i="11" s="1"/>
  <c r="I3402" i="27"/>
  <c r="K3368" i="27"/>
  <c r="I3363" i="27" s="1"/>
  <c r="K3363" i="27" s="1"/>
  <c r="D655" i="25"/>
  <c r="F619" i="25"/>
  <c r="AE3560" i="1"/>
  <c r="AG3544" i="1"/>
  <c r="Z13" i="27"/>
  <c r="Z36" i="27"/>
  <c r="AC36" i="27" s="1"/>
  <c r="I242" i="27" s="1"/>
  <c r="K242" i="27" s="1"/>
  <c r="K488" i="11"/>
  <c r="K1524" i="27"/>
  <c r="K1526" i="27" s="1"/>
  <c r="K3909" i="27"/>
  <c r="K142" i="11"/>
  <c r="R1605" i="1"/>
  <c r="K27" i="1"/>
  <c r="R1074" i="1"/>
  <c r="K73" i="1"/>
  <c r="K1880" i="1"/>
  <c r="I2594" i="27"/>
  <c r="K2594" i="27" s="1"/>
  <c r="K2563" i="27"/>
  <c r="K3849" i="27"/>
  <c r="K3795" i="27"/>
  <c r="I2937" i="27"/>
  <c r="I3032" i="27"/>
  <c r="K3032" i="27" s="1"/>
  <c r="K2909" i="27"/>
  <c r="I3198" i="27"/>
  <c r="K3198" i="27" s="1"/>
  <c r="K3158" i="27"/>
  <c r="K167" i="27"/>
  <c r="C165" i="27"/>
  <c r="K3799" i="27"/>
  <c r="V1394" i="1"/>
  <c r="X1377" i="1"/>
  <c r="I210" i="27"/>
  <c r="K210" i="27" s="1"/>
  <c r="P306" i="27"/>
  <c r="R306" i="27" s="1"/>
  <c r="R312" i="27" s="1"/>
  <c r="R314" i="27" s="1"/>
  <c r="P66" i="27"/>
  <c r="R66" i="27" s="1"/>
  <c r="P318" i="27"/>
  <c r="R318" i="27" s="1"/>
  <c r="R324" i="27" s="1"/>
  <c r="R326" i="27" s="1"/>
  <c r="I1221" i="27"/>
  <c r="K1221" i="27" s="1"/>
  <c r="K1226" i="27" s="1"/>
  <c r="K1228" i="27" s="1"/>
  <c r="V1425" i="1"/>
  <c r="X1425" i="1" s="1"/>
  <c r="R1464" i="1"/>
  <c r="K226" i="1"/>
  <c r="K380" i="1"/>
  <c r="K312" i="1"/>
  <c r="AQ394" i="1"/>
  <c r="AS394" i="1" s="1"/>
  <c r="X315" i="1"/>
  <c r="AS111" i="1"/>
  <c r="AE315" i="1"/>
  <c r="AG315" i="1" s="1"/>
  <c r="AQ3115" i="1"/>
  <c r="AQ3116" i="1" s="1"/>
  <c r="AQ3117" i="1" s="1"/>
  <c r="C851" i="55" s="1"/>
  <c r="AR3115" i="1"/>
  <c r="AR3116" i="1" s="1"/>
  <c r="AR3117" i="1" s="1"/>
  <c r="C852" i="55" s="1"/>
  <c r="P2858" i="1"/>
  <c r="R2858" i="1" s="1"/>
  <c r="C732" i="55"/>
  <c r="R3125" i="1"/>
  <c r="V2786" i="1"/>
  <c r="X2786" i="1" s="1"/>
  <c r="AE2790" i="1"/>
  <c r="AG2790" i="1" s="1"/>
  <c r="AG3542" i="1"/>
  <c r="AE3558" i="1"/>
  <c r="Q13" i="4"/>
  <c r="Z43" i="1" s="1"/>
  <c r="AC43" i="1" s="1"/>
  <c r="P151" i="1" s="1"/>
  <c r="R151" i="1" s="1"/>
  <c r="R155" i="1" s="1"/>
  <c r="C560" i="55" s="1"/>
  <c r="I154" i="11"/>
  <c r="I1086" i="11"/>
  <c r="K1086" i="11" s="1"/>
  <c r="K124" i="11"/>
  <c r="AG3562" i="1"/>
  <c r="V3625" i="1"/>
  <c r="I224" i="11"/>
  <c r="K224" i="11" s="1"/>
  <c r="K106" i="11"/>
  <c r="P1222" i="1"/>
  <c r="K1227" i="1"/>
  <c r="K1009" i="11"/>
  <c r="K1074" i="11"/>
  <c r="K2974" i="1"/>
  <c r="I3059" i="1"/>
  <c r="P2981" i="1"/>
  <c r="R2981" i="1" s="1"/>
  <c r="P1101" i="1"/>
  <c r="R1075" i="1"/>
  <c r="AB1411" i="1"/>
  <c r="X1413" i="1"/>
  <c r="K1813" i="27"/>
  <c r="K2628" i="27"/>
  <c r="K2629" i="27" s="1"/>
  <c r="I2614" i="27" s="1"/>
  <c r="K2614" i="27" s="1"/>
  <c r="V3591" i="1"/>
  <c r="X3576" i="1"/>
  <c r="R395" i="27"/>
  <c r="R397" i="27" s="1"/>
  <c r="K581" i="27"/>
  <c r="K3356" i="1"/>
  <c r="I3444" i="1"/>
  <c r="K3444" i="1" s="1"/>
  <c r="K3446" i="1" s="1"/>
  <c r="K3448" i="1" s="1"/>
  <c r="K3449" i="1" s="1"/>
  <c r="N10" i="4"/>
  <c r="Z41" i="1" s="1"/>
  <c r="X644" i="1"/>
  <c r="AD644" i="1"/>
  <c r="AF644" i="1" s="1"/>
  <c r="V709" i="1"/>
  <c r="AB1375" i="1"/>
  <c r="AD1358" i="1"/>
  <c r="I3057" i="27"/>
  <c r="K2939" i="27"/>
  <c r="P1469" i="1"/>
  <c r="R1452" i="1"/>
  <c r="K1938" i="27"/>
  <c r="AG3541" i="1"/>
  <c r="AE3557" i="1"/>
  <c r="AB1385" i="1"/>
  <c r="AD1385" i="1" s="1"/>
  <c r="AD1368" i="1"/>
  <c r="I1109" i="1"/>
  <c r="K1109" i="1" s="1"/>
  <c r="K1094" i="1"/>
  <c r="R1495" i="1"/>
  <c r="V1456" i="1"/>
  <c r="P1538" i="1"/>
  <c r="R1538" i="1" s="1"/>
  <c r="P1491" i="1"/>
  <c r="R1460" i="1"/>
  <c r="V1421" i="1"/>
  <c r="X1421" i="1" s="1"/>
  <c r="R1451" i="1"/>
  <c r="P1468" i="1"/>
  <c r="C166" i="1"/>
  <c r="C40" i="55" s="1"/>
  <c r="X2605" i="1"/>
  <c r="I2672" i="1"/>
  <c r="C1457" i="55"/>
  <c r="P403" i="1"/>
  <c r="R403" i="1" s="1"/>
  <c r="I3355" i="1"/>
  <c r="X887" i="1"/>
  <c r="I3492" i="1"/>
  <c r="K3492" i="1" s="1"/>
  <c r="P1453" i="1"/>
  <c r="R1453" i="1" s="1"/>
  <c r="R1420" i="1"/>
  <c r="V1381" i="1"/>
  <c r="V1398" i="1" s="1"/>
  <c r="R1861" i="1"/>
  <c r="P1892" i="1"/>
  <c r="R1892" i="1" s="1"/>
  <c r="K2818" i="1"/>
  <c r="AG394" i="1"/>
  <c r="R445" i="1"/>
  <c r="R447" i="1" s="1"/>
  <c r="D110" i="32"/>
  <c r="F110" i="32" s="1"/>
  <c r="AB1379" i="1"/>
  <c r="D51" i="50"/>
  <c r="X686" i="1"/>
  <c r="AG3114" i="1"/>
  <c r="AG3115" i="1" s="1"/>
  <c r="AG3116" i="1" s="1"/>
  <c r="AF3114" i="1"/>
  <c r="AF3115" i="1" s="1"/>
  <c r="AH3114" i="1"/>
  <c r="AH3115" i="1" s="1"/>
  <c r="AH3116" i="1" s="1"/>
  <c r="X317" i="1"/>
  <c r="X3676" i="1"/>
  <c r="V3660" i="1" s="1"/>
  <c r="V1303" i="1"/>
  <c r="X1303" i="1" s="1"/>
  <c r="I3682" i="1"/>
  <c r="K3682" i="1" s="1"/>
  <c r="K3696" i="1" s="1"/>
  <c r="K3698" i="1" s="1"/>
  <c r="C862" i="55" s="1"/>
  <c r="K3676" i="1"/>
  <c r="K3678" i="1" s="1"/>
  <c r="C861" i="55" s="1"/>
  <c r="R130" i="1"/>
  <c r="P414" i="1"/>
  <c r="R414" i="1" s="1"/>
  <c r="R1638" i="1"/>
  <c r="T1641" i="1" s="1"/>
  <c r="AQ69" i="1"/>
  <c r="AG3540" i="1"/>
  <c r="I225" i="27"/>
  <c r="K225" i="27" s="1"/>
  <c r="P51" i="27"/>
  <c r="R51" i="27" s="1"/>
  <c r="I1384" i="27"/>
  <c r="K1384" i="27" s="1"/>
  <c r="K1389" i="27" s="1"/>
  <c r="K1391" i="27" s="1"/>
  <c r="I1324" i="27"/>
  <c r="K1324" i="27" s="1"/>
  <c r="K1330" i="27" s="1"/>
  <c r="K1332" i="27" s="1"/>
  <c r="P606" i="27" s="1"/>
  <c r="R606" i="27" s="1"/>
  <c r="I1396" i="27"/>
  <c r="K1396" i="27" s="1"/>
  <c r="K1401" i="27" s="1"/>
  <c r="K1403" i="27" s="1"/>
  <c r="P80" i="27"/>
  <c r="R80" i="27" s="1"/>
  <c r="I296" i="27"/>
  <c r="K296" i="27" s="1"/>
  <c r="I195" i="27"/>
  <c r="K195" i="27" s="1"/>
  <c r="P335" i="27"/>
  <c r="R335" i="27" s="1"/>
  <c r="R341" i="27" s="1"/>
  <c r="R343" i="27" s="1"/>
  <c r="I311" i="27"/>
  <c r="K311" i="27" s="1"/>
  <c r="P603" i="27" s="1"/>
  <c r="R603" i="27" s="1"/>
  <c r="I1409" i="27"/>
  <c r="K1409" i="27" s="1"/>
  <c r="K1414" i="27" s="1"/>
  <c r="K1416" i="27" s="1"/>
  <c r="I1170" i="27"/>
  <c r="K1170" i="27" s="1"/>
  <c r="K1188" i="27" s="1"/>
  <c r="K1191" i="27" s="1"/>
  <c r="P283" i="27" s="1"/>
  <c r="R283" i="27" s="1"/>
  <c r="R288" i="27" s="1"/>
  <c r="R290" i="27" s="1"/>
  <c r="P347" i="27"/>
  <c r="R347" i="27" s="1"/>
  <c r="R353" i="27" s="1"/>
  <c r="R355" i="27" s="1"/>
  <c r="I1364" i="27"/>
  <c r="K1364" i="27" s="1"/>
  <c r="K1371" i="27" s="1"/>
  <c r="K1373" i="27" s="1"/>
  <c r="I1911" i="27" s="1"/>
  <c r="K1911" i="27" s="1"/>
  <c r="I1199" i="27"/>
  <c r="K1199" i="27" s="1"/>
  <c r="K1212" i="27" s="1"/>
  <c r="K1214" i="27" s="1"/>
  <c r="I591" i="27"/>
  <c r="K591" i="27" s="1"/>
  <c r="K596" i="27" s="1"/>
  <c r="K598" i="27" s="1"/>
  <c r="K599" i="27" s="1"/>
  <c r="K600" i="27" s="1"/>
  <c r="K601" i="27" s="1"/>
  <c r="K602" i="27" s="1"/>
  <c r="K603" i="27" s="1"/>
  <c r="I1268" i="27"/>
  <c r="K1268" i="27" s="1"/>
  <c r="K1274" i="27" s="1"/>
  <c r="K1276" i="27" s="1"/>
  <c r="I1286" i="27"/>
  <c r="K1286" i="27" s="1"/>
  <c r="K1295" i="27" s="1"/>
  <c r="K1297" i="27" s="1"/>
  <c r="P295" i="27"/>
  <c r="R295" i="27" s="1"/>
  <c r="R301" i="27" s="1"/>
  <c r="R303" i="27" s="1"/>
  <c r="I1308" i="27"/>
  <c r="K1308" i="27" s="1"/>
  <c r="K1317" i="27" s="1"/>
  <c r="K1319" i="27" s="1"/>
  <c r="I1637" i="27"/>
  <c r="K1637" i="27" s="1"/>
  <c r="I1349" i="27"/>
  <c r="K1349" i="27" s="1"/>
  <c r="K1355" i="27" s="1"/>
  <c r="K1357" i="27" s="1"/>
  <c r="M3712" i="27"/>
  <c r="K2208" i="27"/>
  <c r="K3464" i="1"/>
  <c r="AD1360" i="1"/>
  <c r="AB1377" i="1"/>
  <c r="K3199" i="1"/>
  <c r="C1505" i="55"/>
  <c r="I3244" i="1"/>
  <c r="F24" i="50"/>
  <c r="I3570" i="27"/>
  <c r="K3570" i="27" s="1"/>
  <c r="K3573" i="27" s="1"/>
  <c r="K3564" i="27" s="1"/>
  <c r="K3566" i="27" s="1"/>
  <c r="K3567" i="27" s="1"/>
  <c r="I3622" i="27"/>
  <c r="K3622" i="27" s="1"/>
  <c r="P3471" i="1"/>
  <c r="R3471" i="1" s="1"/>
  <c r="I3832" i="1"/>
  <c r="K3832" i="1" s="1"/>
  <c r="K3465" i="1"/>
  <c r="V768" i="1"/>
  <c r="X768" i="1" s="1"/>
  <c r="X682" i="1"/>
  <c r="I2952" i="27"/>
  <c r="K2932" i="27"/>
  <c r="I3050" i="27"/>
  <c r="V1412" i="1"/>
  <c r="X1396" i="1"/>
  <c r="I3393" i="1"/>
  <c r="K3324" i="1"/>
  <c r="V821" i="1"/>
  <c r="X821" i="1" s="1"/>
  <c r="X806" i="1"/>
  <c r="P3064" i="1"/>
  <c r="R3064" i="1" s="1"/>
  <c r="I3076" i="1"/>
  <c r="K3076" i="1" s="1"/>
  <c r="K9" i="1"/>
  <c r="I3747" i="1"/>
  <c r="K3747" i="1" s="1"/>
  <c r="I3645" i="1"/>
  <c r="K3748" i="1"/>
  <c r="V3522" i="1"/>
  <c r="X3522" i="1" s="1"/>
  <c r="X3542" i="1"/>
  <c r="V3558" i="1"/>
  <c r="AD1401" i="1"/>
  <c r="AB1418" i="1"/>
  <c r="AD1418" i="1" s="1"/>
  <c r="I1115" i="11"/>
  <c r="K1115" i="11" s="1"/>
  <c r="P818" i="11"/>
  <c r="R818" i="11" s="1"/>
  <c r="R793" i="11"/>
  <c r="I595" i="11"/>
  <c r="K576" i="11"/>
  <c r="AC1199" i="1"/>
  <c r="AC1200" i="1" s="1"/>
  <c r="AC1201" i="1" s="1"/>
  <c r="AC1202" i="1" s="1"/>
  <c r="AC1203" i="1" s="1"/>
  <c r="J598" i="1"/>
  <c r="J616" i="1"/>
  <c r="V594" i="1" s="1"/>
  <c r="J661" i="1"/>
  <c r="J662" i="1" s="1"/>
  <c r="J663" i="1" s="1"/>
  <c r="J615" i="1"/>
  <c r="V593" i="1" s="1"/>
  <c r="T1183" i="1"/>
  <c r="J595" i="1"/>
  <c r="J597" i="1"/>
  <c r="J600" i="1"/>
  <c r="J599" i="1"/>
  <c r="T1159" i="1"/>
  <c r="J596" i="1"/>
  <c r="J593" i="1"/>
  <c r="J614" i="1"/>
  <c r="V592" i="1" s="1"/>
  <c r="J592" i="1"/>
  <c r="J594" i="1"/>
  <c r="J561" i="1"/>
  <c r="J537" i="1"/>
  <c r="J538" i="1" s="1"/>
  <c r="J539" i="1" s="1"/>
  <c r="AJ1199" i="1"/>
  <c r="J630" i="1"/>
  <c r="J631" i="1" s="1"/>
  <c r="J632" i="1" s="1"/>
  <c r="J633" i="1" s="1"/>
  <c r="K3213" i="1"/>
  <c r="C1506" i="55"/>
  <c r="I3228" i="1"/>
  <c r="F89" i="50"/>
  <c r="F92" i="50" s="1"/>
  <c r="C908" i="55" s="1"/>
  <c r="E149" i="50"/>
  <c r="F149" i="50" s="1"/>
  <c r="F152" i="50" s="1"/>
  <c r="C909" i="55" s="1"/>
  <c r="I220" i="11"/>
  <c r="K102" i="11"/>
  <c r="I122" i="11"/>
  <c r="P3115" i="27"/>
  <c r="K3115" i="27"/>
  <c r="V3520" i="1"/>
  <c r="X3520" i="1" s="1"/>
  <c r="X3540" i="1"/>
  <c r="K2972" i="1"/>
  <c r="P2979" i="1"/>
  <c r="R2979" i="1" s="1"/>
  <c r="K3928" i="1"/>
  <c r="I3946" i="1"/>
  <c r="V735" i="1"/>
  <c r="X735" i="1" s="1"/>
  <c r="D46" i="50"/>
  <c r="X3161" i="1"/>
  <c r="D549" i="25"/>
  <c r="P1449" i="1"/>
  <c r="R1433" i="1"/>
  <c r="I2899" i="1"/>
  <c r="K2899" i="1" s="1"/>
  <c r="K505" i="1"/>
  <c r="I3990" i="1"/>
  <c r="K3989" i="1"/>
  <c r="I2684" i="1"/>
  <c r="K2684" i="1" s="1"/>
  <c r="K2683" i="1"/>
  <c r="V1405" i="1"/>
  <c r="X1389" i="1"/>
  <c r="I2587" i="27"/>
  <c r="K2587" i="27" s="1"/>
  <c r="K2556" i="27"/>
  <c r="P1448" i="1"/>
  <c r="R1432" i="1"/>
  <c r="J617" i="1"/>
  <c r="V595" i="1" s="1"/>
  <c r="AJ1200" i="1"/>
  <c r="P3442" i="1"/>
  <c r="R3442" i="1" s="1"/>
  <c r="R3228" i="1"/>
  <c r="P3329" i="1"/>
  <c r="R19" i="11"/>
  <c r="P52" i="11"/>
  <c r="R52" i="11" s="1"/>
  <c r="K3493" i="1"/>
  <c r="R3302" i="1"/>
  <c r="I111" i="27"/>
  <c r="K111" i="27" s="1"/>
  <c r="K114" i="27" s="1"/>
  <c r="K116" i="27" s="1"/>
  <c r="K118" i="27" s="1"/>
  <c r="K119" i="27" s="1"/>
  <c r="K83" i="27"/>
  <c r="K86" i="27" s="1"/>
  <c r="K88" i="27" s="1"/>
  <c r="I96" i="27"/>
  <c r="K96" i="27" s="1"/>
  <c r="K99" i="27" s="1"/>
  <c r="K101" i="27" s="1"/>
  <c r="P3617" i="27"/>
  <c r="R3617" i="27" s="1"/>
  <c r="R3620" i="27" s="1"/>
  <c r="P3636" i="27" s="1"/>
  <c r="R3636" i="27" s="1"/>
  <c r="R3638" i="27" s="1"/>
  <c r="K3616" i="27"/>
  <c r="I3647" i="27"/>
  <c r="K3647" i="27" s="1"/>
  <c r="X316" i="1"/>
  <c r="AE316" i="1"/>
  <c r="AG316" i="1" s="1"/>
  <c r="AQ68" i="1"/>
  <c r="X885" i="1"/>
  <c r="V901" i="1"/>
  <c r="X901" i="1" s="1"/>
  <c r="P3069" i="1"/>
  <c r="R3069" i="1" s="1"/>
  <c r="I3081" i="1"/>
  <c r="K3081" i="1" s="1"/>
  <c r="K3062" i="1"/>
  <c r="P2155" i="1"/>
  <c r="R2155" i="1" s="1"/>
  <c r="K2148" i="1"/>
  <c r="K4023" i="1"/>
  <c r="I4036" i="1"/>
  <c r="K4036" i="1" s="1"/>
  <c r="D587" i="25"/>
  <c r="F550" i="25"/>
  <c r="X3557" i="1"/>
  <c r="V3573" i="1"/>
  <c r="V1453" i="1"/>
  <c r="R1492" i="1"/>
  <c r="K524" i="11"/>
  <c r="K525" i="11" s="1"/>
  <c r="K516" i="11" s="1"/>
  <c r="K517" i="11" s="1"/>
  <c r="R381" i="27"/>
  <c r="R383" i="27" s="1"/>
  <c r="P412" i="27" s="1"/>
  <c r="R412" i="27" s="1"/>
  <c r="K1442" i="27"/>
  <c r="K1444" i="27" s="1"/>
  <c r="K1984" i="27"/>
  <c r="K1986" i="27" s="1"/>
  <c r="C351" i="55"/>
  <c r="I3996" i="1"/>
  <c r="AD1361" i="1"/>
  <c r="AB1378" i="1"/>
  <c r="I838" i="11"/>
  <c r="K838" i="11" s="1"/>
  <c r="K831" i="11"/>
  <c r="K14" i="27"/>
  <c r="N14" i="27"/>
  <c r="P2886" i="27"/>
  <c r="R2886" i="27" s="1"/>
  <c r="R2853" i="27"/>
  <c r="D84" i="25"/>
  <c r="F59" i="25"/>
  <c r="X1409" i="1"/>
  <c r="AB1407" i="1"/>
  <c r="K431" i="11"/>
  <c r="L431" i="11" s="1"/>
  <c r="I2853" i="27"/>
  <c r="P26" i="11"/>
  <c r="K4019" i="1"/>
  <c r="I4020" i="1"/>
  <c r="I4034" i="1"/>
  <c r="K4034" i="1" s="1"/>
  <c r="I3082" i="1"/>
  <c r="K3082" i="1" s="1"/>
  <c r="K3063" i="1"/>
  <c r="P3070" i="1"/>
  <c r="R3070" i="1" s="1"/>
  <c r="K1109" i="11"/>
  <c r="C354" i="55"/>
  <c r="D60" i="79" s="1"/>
  <c r="F60" i="79" s="1"/>
  <c r="I3491" i="1"/>
  <c r="K3491" i="1" s="1"/>
  <c r="Z35" i="1"/>
  <c r="AC35" i="1" s="1"/>
  <c r="I255" i="1" s="1"/>
  <c r="K255" i="1" s="1"/>
  <c r="Z36" i="1"/>
  <c r="AC36" i="1" s="1"/>
  <c r="I244" i="1" s="1"/>
  <c r="K244" i="1" s="1"/>
  <c r="Z37" i="1"/>
  <c r="AC37" i="1" s="1"/>
  <c r="I243" i="1" s="1"/>
  <c r="K243" i="1" s="1"/>
  <c r="Z44" i="1"/>
  <c r="AC44" i="1" s="1"/>
  <c r="AB1332" i="1" s="1"/>
  <c r="AC1332" i="1" s="1"/>
  <c r="Z12" i="1"/>
  <c r="AC12" i="1" s="1"/>
  <c r="AC11" i="1"/>
  <c r="V643" i="1" s="1"/>
  <c r="C270" i="55"/>
  <c r="I688" i="1"/>
  <c r="K688" i="1" s="1"/>
  <c r="K3507" i="27"/>
  <c r="I593" i="11"/>
  <c r="K574" i="11"/>
  <c r="K577" i="11" s="1"/>
  <c r="K578" i="11" s="1"/>
  <c r="K567" i="11" s="1"/>
  <c r="L567" i="11" s="1"/>
  <c r="M567" i="11" s="1"/>
  <c r="N567" i="11" s="1"/>
  <c r="O567" i="11" s="1"/>
  <c r="X1354" i="1"/>
  <c r="AB1352" i="1"/>
  <c r="G834" i="64"/>
  <c r="E889" i="64"/>
  <c r="G889" i="64" s="1"/>
  <c r="K2487" i="1"/>
  <c r="K2491" i="1" s="1"/>
  <c r="K2493" i="1" s="1"/>
  <c r="C1419" i="55" s="1"/>
  <c r="I2509" i="1"/>
  <c r="G829" i="64"/>
  <c r="E884" i="64"/>
  <c r="G884" i="64" s="1"/>
  <c r="G467" i="25"/>
  <c r="G468" i="25" s="1"/>
  <c r="A483" i="25" s="1"/>
  <c r="G483" i="25" s="1"/>
  <c r="G490" i="25" s="1"/>
  <c r="G491" i="25" s="1"/>
  <c r="C743" i="55" s="1"/>
  <c r="I1089" i="11"/>
  <c r="K1089" i="11" s="1"/>
  <c r="K127" i="11"/>
  <c r="I355" i="27"/>
  <c r="K355" i="27" s="1"/>
  <c r="I1155" i="27"/>
  <c r="K1155" i="27" s="1"/>
  <c r="K1161" i="27" s="1"/>
  <c r="K1163" i="27" s="1"/>
  <c r="P361" i="27"/>
  <c r="R361" i="27" s="1"/>
  <c r="R369" i="27" s="1"/>
  <c r="R371" i="27" s="1"/>
  <c r="I1337" i="27"/>
  <c r="K1337" i="27" s="1"/>
  <c r="K1343" i="27" s="1"/>
  <c r="K1345" i="27" s="1"/>
  <c r="I379" i="27"/>
  <c r="K379" i="27" s="1"/>
  <c r="I410" i="27"/>
  <c r="K410" i="27" s="1"/>
  <c r="I479" i="27"/>
  <c r="K479" i="27" s="1"/>
  <c r="K487" i="27" s="1"/>
  <c r="K489" i="27" s="1"/>
  <c r="I444" i="27"/>
  <c r="K444" i="27" s="1"/>
  <c r="K1107" i="27"/>
  <c r="K1109" i="27" s="1"/>
  <c r="K1427" i="27"/>
  <c r="K1429" i="27" s="1"/>
  <c r="F140" i="64"/>
  <c r="E830" i="64"/>
  <c r="C15" i="55"/>
  <c r="K2918" i="27"/>
  <c r="K2962" i="27" s="1"/>
  <c r="F227" i="32"/>
  <c r="F230" i="64"/>
  <c r="F231" i="64" s="1"/>
  <c r="F232" i="64" s="1"/>
  <c r="F236" i="64" s="1"/>
  <c r="F152" i="32"/>
  <c r="C586" i="55" s="1"/>
  <c r="L2319" i="1"/>
  <c r="P2448" i="1"/>
  <c r="R2448" i="1" s="1"/>
  <c r="K119" i="1"/>
  <c r="K120" i="1" s="1"/>
  <c r="I3934" i="27"/>
  <c r="K3934" i="27" s="1"/>
  <c r="K1113" i="11"/>
  <c r="K111" i="11"/>
  <c r="K229" i="11" s="1"/>
  <c r="K144" i="11"/>
  <c r="K26" i="11"/>
  <c r="K177" i="11" s="1"/>
  <c r="K179" i="11" s="1"/>
  <c r="K87" i="11"/>
  <c r="I291" i="11"/>
  <c r="K285" i="11" s="1"/>
  <c r="R285" i="11" s="1"/>
  <c r="R299" i="11" s="1"/>
  <c r="H292" i="11"/>
  <c r="V3140" i="1"/>
  <c r="I4073" i="1"/>
  <c r="K4073" i="1" s="1"/>
  <c r="X3123" i="1"/>
  <c r="C685" i="55"/>
  <c r="C394" i="55"/>
  <c r="G838" i="64"/>
  <c r="E893" i="64"/>
  <c r="G893" i="64" s="1"/>
  <c r="G827" i="64"/>
  <c r="E882" i="64"/>
  <c r="G882" i="64" s="1"/>
  <c r="I2574" i="1"/>
  <c r="K2539" i="1"/>
  <c r="K2543" i="1" s="1"/>
  <c r="K2546" i="1" s="1"/>
  <c r="G840" i="64"/>
  <c r="E895" i="64"/>
  <c r="G895" i="64" s="1"/>
  <c r="G836" i="64"/>
  <c r="E891" i="64"/>
  <c r="G891" i="64" s="1"/>
  <c r="V3519" i="1"/>
  <c r="X3519" i="1" s="1"/>
  <c r="X3539" i="1"/>
  <c r="G832" i="64"/>
  <c r="E887" i="64"/>
  <c r="G887" i="64" s="1"/>
  <c r="G839" i="64"/>
  <c r="E894" i="64"/>
  <c r="G894" i="64" s="1"/>
  <c r="I153" i="27"/>
  <c r="K153" i="27" s="1"/>
  <c r="I183" i="27"/>
  <c r="K183" i="27" s="1"/>
  <c r="K188" i="27" s="1"/>
  <c r="I1683" i="27"/>
  <c r="K1683" i="27" s="1"/>
  <c r="K1691" i="27" s="1"/>
  <c r="K1693" i="27" s="1"/>
  <c r="V819" i="1"/>
  <c r="X819" i="1" s="1"/>
  <c r="X804" i="1"/>
  <c r="L488" i="11"/>
  <c r="K2287" i="1"/>
  <c r="C442" i="55" s="1"/>
  <c r="G375" i="25"/>
  <c r="G376" i="25" s="1"/>
  <c r="W25" i="64"/>
  <c r="W27" i="64" s="1"/>
  <c r="K742" i="11"/>
  <c r="K733" i="11" s="1"/>
  <c r="K735" i="11" s="1"/>
  <c r="G825" i="64"/>
  <c r="E880" i="64"/>
  <c r="G880" i="64" s="1"/>
  <c r="E892" i="64"/>
  <c r="G892" i="64" s="1"/>
  <c r="G837" i="64"/>
  <c r="K913" i="11"/>
  <c r="K930" i="11"/>
  <c r="F28" i="32"/>
  <c r="I4037" i="1"/>
  <c r="K4037" i="1" s="1"/>
  <c r="K4026" i="1"/>
  <c r="K468" i="11"/>
  <c r="K460" i="11" s="1"/>
  <c r="R838" i="11"/>
  <c r="R840" i="11" s="1"/>
  <c r="R851" i="11"/>
  <c r="R852" i="11" s="1"/>
  <c r="R853" i="11" s="1"/>
  <c r="R855" i="11" s="1"/>
  <c r="G826" i="64"/>
  <c r="E881" i="64"/>
  <c r="G881" i="64" s="1"/>
  <c r="G828" i="64"/>
  <c r="E883" i="64"/>
  <c r="G883" i="64" s="1"/>
  <c r="G835" i="64"/>
  <c r="E890" i="64"/>
  <c r="G890" i="64" s="1"/>
  <c r="P792" i="11"/>
  <c r="K791" i="11"/>
  <c r="K795" i="11" s="1"/>
  <c r="K796" i="11" s="1"/>
  <c r="I1110" i="11"/>
  <c r="K1110" i="11" s="1"/>
  <c r="I268" i="11"/>
  <c r="K853" i="11"/>
  <c r="I3683" i="27"/>
  <c r="K3683" i="27" s="1"/>
  <c r="I3831" i="1"/>
  <c r="K3831" i="1" s="1"/>
  <c r="R198" i="1"/>
  <c r="V198" i="1"/>
  <c r="X198" i="1" s="1"/>
  <c r="D110" i="50"/>
  <c r="F110" i="50" s="1"/>
  <c r="F47" i="50"/>
  <c r="C167" i="1"/>
  <c r="C41" i="55" s="1"/>
  <c r="AE369" i="1"/>
  <c r="AG369" i="1" s="1"/>
  <c r="X360" i="1"/>
  <c r="AQ393" i="1"/>
  <c r="AS393" i="1" s="1"/>
  <c r="AG393" i="1"/>
  <c r="AE429" i="1"/>
  <c r="AG429" i="1" s="1"/>
  <c r="R1894" i="1"/>
  <c r="P1895" i="1"/>
  <c r="R1864" i="1"/>
  <c r="D99" i="25"/>
  <c r="F71" i="25"/>
  <c r="V3638" i="1"/>
  <c r="X3638" i="1" s="1"/>
  <c r="R1115" i="1"/>
  <c r="AD1192" i="1"/>
  <c r="AI1192" i="1"/>
  <c r="AK1192" i="1" s="1"/>
  <c r="X1381" i="1"/>
  <c r="P1470" i="1"/>
  <c r="V2784" i="1"/>
  <c r="X2784" i="1" s="1"/>
  <c r="I2244" i="1"/>
  <c r="K2244" i="1" s="1"/>
  <c r="P946" i="1"/>
  <c r="R946" i="1" s="1"/>
  <c r="P735" i="1"/>
  <c r="R735" i="1" s="1"/>
  <c r="R744" i="1" s="1"/>
  <c r="R746" i="1" s="1"/>
  <c r="V2782" i="1"/>
  <c r="P720" i="1"/>
  <c r="R720" i="1" s="1"/>
  <c r="R729" i="1" s="1"/>
  <c r="R731" i="1" s="1"/>
  <c r="I2243" i="1"/>
  <c r="K2243" i="1" s="1"/>
  <c r="P1047" i="1"/>
  <c r="P751" i="1"/>
  <c r="R751" i="1" s="1"/>
  <c r="R760" i="1" s="1"/>
  <c r="R762" i="1" s="1"/>
  <c r="P944" i="1"/>
  <c r="AC26" i="1"/>
  <c r="Z27" i="1"/>
  <c r="D29" i="25"/>
  <c r="F29" i="25" s="1"/>
  <c r="F31" i="25" s="1"/>
  <c r="F32" i="25" s="1"/>
  <c r="V3708" i="1"/>
  <c r="I3185" i="1"/>
  <c r="K3172" i="1"/>
  <c r="K3171" i="1"/>
  <c r="I3184" i="1"/>
  <c r="R1220" i="1"/>
  <c r="T1220" i="1" s="1"/>
  <c r="P1262" i="1"/>
  <c r="P1225" i="1"/>
  <c r="F51" i="32"/>
  <c r="D114" i="32"/>
  <c r="F114" i="32" s="1"/>
  <c r="V1243" i="1"/>
  <c r="P1240" i="1"/>
  <c r="R1240" i="1" s="1"/>
  <c r="R1263" i="1"/>
  <c r="D101" i="25"/>
  <c r="F73" i="25"/>
  <c r="X3556" i="1"/>
  <c r="V3572" i="1"/>
  <c r="AS69" i="1"/>
  <c r="AQ93" i="1"/>
  <c r="P1261" i="1"/>
  <c r="R1219" i="1"/>
  <c r="T1219" i="1" s="1"/>
  <c r="P1224" i="1"/>
  <c r="I3198" i="1"/>
  <c r="K3183" i="1"/>
  <c r="R1226" i="1"/>
  <c r="T1226" i="1" s="1"/>
  <c r="P1268" i="1"/>
  <c r="V1323" i="1"/>
  <c r="X1323" i="1" s="1"/>
  <c r="F45" i="25"/>
  <c r="F46" i="25" s="1"/>
  <c r="C393" i="55"/>
  <c r="V199" i="1"/>
  <c r="X199" i="1" s="1"/>
  <c r="R199" i="1"/>
  <c r="P141" i="1"/>
  <c r="C142" i="1"/>
  <c r="I3005" i="1"/>
  <c r="K3005" i="1" s="1"/>
  <c r="K3007" i="1" s="1"/>
  <c r="I245" i="1"/>
  <c r="K245" i="1" s="1"/>
  <c r="C35" i="1"/>
  <c r="P3552" i="1"/>
  <c r="R3552" i="1" s="1"/>
  <c r="AE3548" i="1"/>
  <c r="AE3564" i="1" s="1"/>
  <c r="V3548" i="1"/>
  <c r="K3110" i="1"/>
  <c r="P2084" i="1"/>
  <c r="R2084" i="1" s="1"/>
  <c r="R406" i="1"/>
  <c r="R408" i="1" s="1"/>
  <c r="W594" i="1"/>
  <c r="W595" i="1"/>
  <c r="W593" i="1"/>
  <c r="W592" i="1"/>
  <c r="R23" i="1"/>
  <c r="P50" i="1"/>
  <c r="R50" i="1" s="1"/>
  <c r="P642" i="1"/>
  <c r="R642" i="1" s="1"/>
  <c r="R646" i="1" s="1"/>
  <c r="C83" i="1"/>
  <c r="D397" i="81" s="1"/>
  <c r="F397" i="81" s="1"/>
  <c r="F404" i="81" s="1"/>
  <c r="F406" i="81" s="1"/>
  <c r="Z34" i="1"/>
  <c r="AC34" i="1" s="1"/>
  <c r="C78" i="1" s="1"/>
  <c r="I445" i="1" s="1"/>
  <c r="K445" i="1" s="1"/>
  <c r="AC29" i="1"/>
  <c r="C92" i="1" s="1"/>
  <c r="Z10" i="1"/>
  <c r="AC10" i="1" s="1"/>
  <c r="C70" i="1" s="1"/>
  <c r="I297" i="1" s="1"/>
  <c r="K297" i="1" s="1"/>
  <c r="AC9" i="1"/>
  <c r="C69" i="1" s="1"/>
  <c r="I296" i="1" s="1"/>
  <c r="K296" i="1" s="1"/>
  <c r="Z16" i="1"/>
  <c r="Z46" i="1"/>
  <c r="F153" i="64"/>
  <c r="F154" i="64" s="1"/>
  <c r="F155" i="64" s="1"/>
  <c r="F159" i="64" s="1"/>
  <c r="K3772" i="27"/>
  <c r="R3772" i="27"/>
  <c r="D121" i="25"/>
  <c r="F100" i="25"/>
  <c r="P401" i="27"/>
  <c r="R401" i="27" s="1"/>
  <c r="P402" i="27"/>
  <c r="R402" i="27" s="1"/>
  <c r="L379" i="11"/>
  <c r="C719" i="55"/>
  <c r="C1470" i="55"/>
  <c r="I2269" i="27"/>
  <c r="I1092" i="27"/>
  <c r="K1092" i="27" s="1"/>
  <c r="K705" i="11"/>
  <c r="K707" i="11" s="1"/>
  <c r="K667" i="11"/>
  <c r="K669" i="11" s="1"/>
  <c r="C1472" i="55"/>
  <c r="K398" i="11"/>
  <c r="M390" i="11"/>
  <c r="L390" i="11"/>
  <c r="P1117" i="1"/>
  <c r="R1117" i="1" s="1"/>
  <c r="R1096" i="1"/>
  <c r="M2076" i="1"/>
  <c r="R2062" i="1"/>
  <c r="R1100" i="1"/>
  <c r="P1121" i="1"/>
  <c r="R1121" i="1" s="1"/>
  <c r="AB1374" i="1"/>
  <c r="AD1357" i="1"/>
  <c r="K2372" i="27"/>
  <c r="I2389" i="27"/>
  <c r="K2389" i="27" s="1"/>
  <c r="K2391" i="27" s="1"/>
  <c r="I1532" i="27"/>
  <c r="K1532" i="27" s="1"/>
  <c r="K1537" i="27" s="1"/>
  <c r="K1539" i="27" s="1"/>
  <c r="I1504" i="27"/>
  <c r="K1504" i="27" s="1"/>
  <c r="K1511" i="27" s="1"/>
  <c r="K1513" i="27" s="1"/>
  <c r="I2525" i="27"/>
  <c r="K2525" i="27" s="1"/>
  <c r="K2533" i="27" s="1"/>
  <c r="K2535" i="27" s="1"/>
  <c r="K1014" i="27"/>
  <c r="K1022" i="27" s="1"/>
  <c r="K1024" i="27" s="1"/>
  <c r="P3365" i="1"/>
  <c r="R3365" i="1" s="1"/>
  <c r="P3399" i="1"/>
  <c r="R3399" i="1" s="1"/>
  <c r="R3296" i="1"/>
  <c r="X137" i="1"/>
  <c r="V83" i="1"/>
  <c r="X83" i="1" s="1"/>
  <c r="V111" i="1"/>
  <c r="X111" i="1" s="1"/>
  <c r="X115" i="1" s="1"/>
  <c r="X117" i="1" s="1"/>
  <c r="X119" i="1" s="1"/>
  <c r="X134" i="1"/>
  <c r="X82" i="1"/>
  <c r="V1411" i="1"/>
  <c r="X1395" i="1"/>
  <c r="K3959" i="1"/>
  <c r="I3976" i="1"/>
  <c r="K3976" i="1" s="1"/>
  <c r="I1130" i="1"/>
  <c r="I921" i="1"/>
  <c r="K921" i="1" s="1"/>
  <c r="I2866" i="1"/>
  <c r="K2866" i="1" s="1"/>
  <c r="I928" i="1"/>
  <c r="K928" i="1" s="1"/>
  <c r="R3195" i="1"/>
  <c r="D669" i="64"/>
  <c r="F669" i="64" s="1"/>
  <c r="F592" i="64"/>
  <c r="K46" i="1"/>
  <c r="K2264" i="27"/>
  <c r="I2666" i="27"/>
  <c r="K2666" i="27" s="1"/>
  <c r="I3424" i="27"/>
  <c r="K3405" i="27"/>
  <c r="I2440" i="27"/>
  <c r="K2440" i="27" s="1"/>
  <c r="K2425" i="27"/>
  <c r="I208" i="11"/>
  <c r="K208" i="11" s="1"/>
  <c r="I109" i="11"/>
  <c r="K85" i="11"/>
  <c r="F278" i="64"/>
  <c r="F297" i="64" s="1"/>
  <c r="D342" i="64"/>
  <c r="F342" i="64" s="1"/>
  <c r="F359" i="64" s="1"/>
  <c r="K1137" i="1"/>
  <c r="I3532" i="1"/>
  <c r="P3536" i="1" s="1"/>
  <c r="R3536" i="1" s="1"/>
  <c r="I2359" i="1"/>
  <c r="I2361" i="1"/>
  <c r="C597" i="55" s="1"/>
  <c r="C595" i="55"/>
  <c r="I2355" i="1"/>
  <c r="AS136" i="1"/>
  <c r="AQ167" i="1"/>
  <c r="AS167" i="1" s="1"/>
  <c r="C1469" i="55"/>
  <c r="L364" i="11"/>
  <c r="M364" i="11"/>
  <c r="P1603" i="1"/>
  <c r="K1602" i="1"/>
  <c r="K1607" i="1" s="1"/>
  <c r="K1609" i="1" s="1"/>
  <c r="P575" i="27"/>
  <c r="R575" i="27" s="1"/>
  <c r="P589" i="27"/>
  <c r="R589" i="27" s="1"/>
  <c r="R136" i="27"/>
  <c r="R137" i="27" s="1"/>
  <c r="R138" i="27" s="1"/>
  <c r="R139" i="27" s="1"/>
  <c r="R140" i="27" s="1"/>
  <c r="P632" i="27"/>
  <c r="R632" i="27" s="1"/>
  <c r="F230" i="32"/>
  <c r="K1095" i="27"/>
  <c r="K1097" i="27" s="1"/>
  <c r="K1837" i="27"/>
  <c r="K1839" i="27" s="1"/>
  <c r="I1846" i="27" s="1"/>
  <c r="K1846" i="27" s="1"/>
  <c r="K1849" i="27" s="1"/>
  <c r="K712" i="27"/>
  <c r="K714" i="27" s="1"/>
  <c r="I720" i="27" s="1"/>
  <c r="K720" i="27" s="1"/>
  <c r="K1821" i="27"/>
  <c r="I862" i="11"/>
  <c r="K862" i="11" s="1"/>
  <c r="K851" i="11"/>
  <c r="AE3543" i="1"/>
  <c r="P3547" i="1"/>
  <c r="R3547" i="1" s="1"/>
  <c r="K3543" i="1"/>
  <c r="V3543" i="1"/>
  <c r="P1056" i="1"/>
  <c r="R1056" i="1" s="1"/>
  <c r="R954" i="1"/>
  <c r="I3484" i="1"/>
  <c r="K3484" i="1" s="1"/>
  <c r="I1074" i="1"/>
  <c r="K1074" i="1" s="1"/>
  <c r="I1089" i="1"/>
  <c r="K1089" i="1" s="1"/>
  <c r="A26" i="50"/>
  <c r="F26" i="50" s="1"/>
  <c r="F25" i="50"/>
  <c r="X882" i="1"/>
  <c r="V898" i="1"/>
  <c r="X898" i="1" s="1"/>
  <c r="I207" i="11"/>
  <c r="K207" i="11" s="1"/>
  <c r="K84" i="11"/>
  <c r="E3853" i="1"/>
  <c r="J3849" i="1"/>
  <c r="K2839" i="1"/>
  <c r="K2844" i="1" s="1"/>
  <c r="K2846" i="1" s="1"/>
  <c r="I2975" i="1"/>
  <c r="AF691" i="1"/>
  <c r="AF689" i="1"/>
  <c r="AF688" i="1"/>
  <c r="K3109" i="1"/>
  <c r="P2083" i="1"/>
  <c r="R2083" i="1" s="1"/>
  <c r="K3430" i="1"/>
  <c r="P1446" i="1"/>
  <c r="V1424" i="1"/>
  <c r="X1424" i="1" s="1"/>
  <c r="R1430" i="1"/>
  <c r="P28" i="11"/>
  <c r="R28" i="11" s="1"/>
  <c r="P61" i="11"/>
  <c r="R61" i="11" s="1"/>
  <c r="I3609" i="1"/>
  <c r="K3431" i="1"/>
  <c r="R3162" i="1"/>
  <c r="V3121" i="1"/>
  <c r="AB1376" i="1"/>
  <c r="AD1359" i="1"/>
  <c r="F74" i="64"/>
  <c r="F75" i="64" s="1"/>
  <c r="F79" i="64" s="1"/>
  <c r="K11" i="1"/>
  <c r="D540" i="64"/>
  <c r="F415" i="64"/>
  <c r="D416" i="64"/>
  <c r="I2558" i="27"/>
  <c r="K914" i="27"/>
  <c r="K922" i="27" s="1"/>
  <c r="K924" i="27" s="1"/>
  <c r="I2408" i="27"/>
  <c r="K2408" i="27" s="1"/>
  <c r="K2361" i="27"/>
  <c r="C271" i="55"/>
  <c r="I689" i="1"/>
  <c r="K689" i="1" s="1"/>
  <c r="AU111" i="1"/>
  <c r="AV111" i="1" s="1"/>
  <c r="V823" i="1"/>
  <c r="X823" i="1" s="1"/>
  <c r="X808" i="1"/>
  <c r="K948" i="11"/>
  <c r="K950" i="11" s="1"/>
  <c r="L950" i="11" s="1"/>
  <c r="K943" i="11"/>
  <c r="K1805" i="27"/>
  <c r="K753" i="11"/>
  <c r="M753" i="11"/>
  <c r="K834" i="11"/>
  <c r="I3664" i="27"/>
  <c r="K3664" i="27" s="1"/>
  <c r="V1391" i="1"/>
  <c r="X1374" i="1"/>
  <c r="K504" i="11"/>
  <c r="I499" i="11" s="1"/>
  <c r="K499" i="11" s="1"/>
  <c r="K502" i="11" s="1"/>
  <c r="L502" i="11" s="1"/>
  <c r="I537" i="11"/>
  <c r="I3323" i="1"/>
  <c r="R3263" i="1"/>
  <c r="I708" i="1"/>
  <c r="K708" i="1" s="1"/>
  <c r="C276" i="55"/>
  <c r="I461" i="1"/>
  <c r="K461" i="1" s="1"/>
  <c r="I299" i="1"/>
  <c r="K299" i="1" s="1"/>
  <c r="P321" i="1"/>
  <c r="R321" i="1" s="1"/>
  <c r="P338" i="1"/>
  <c r="R338" i="1" s="1"/>
  <c r="I3458" i="1"/>
  <c r="I1946" i="1"/>
  <c r="I1810" i="1"/>
  <c r="K1810" i="1" s="1"/>
  <c r="K1817" i="1" s="1"/>
  <c r="K1819" i="1" s="1"/>
  <c r="I1873" i="1" s="1"/>
  <c r="K1873" i="1" s="1"/>
  <c r="K1875" i="1" s="1"/>
  <c r="I2699" i="1"/>
  <c r="K2699" i="1" s="1"/>
  <c r="K2702" i="1" s="1"/>
  <c r="K2703" i="1" s="1"/>
  <c r="K2704" i="1" s="1"/>
  <c r="C710" i="55" s="1"/>
  <c r="I1828" i="1"/>
  <c r="K1828" i="1" s="1"/>
  <c r="K1835" i="1" s="1"/>
  <c r="K1837" i="1" s="1"/>
  <c r="I1881" i="1" s="1"/>
  <c r="I1380" i="1"/>
  <c r="K1380" i="1" s="1"/>
  <c r="I1252" i="1"/>
  <c r="I1273" i="1"/>
  <c r="I1467" i="1"/>
  <c r="K1467" i="1" s="1"/>
  <c r="I1435" i="1"/>
  <c r="K1435" i="1" s="1"/>
  <c r="I606" i="1"/>
  <c r="K606" i="1" s="1"/>
  <c r="K611" i="1" s="1"/>
  <c r="I584" i="1"/>
  <c r="V479" i="1"/>
  <c r="P269" i="1"/>
  <c r="R269" i="1" s="1"/>
  <c r="I358" i="1"/>
  <c r="P82" i="1"/>
  <c r="R82" i="1" s="1"/>
  <c r="P364" i="1"/>
  <c r="R364" i="1" s="1"/>
  <c r="I447" i="1"/>
  <c r="K447" i="1" s="1"/>
  <c r="P366" i="1"/>
  <c r="R366" i="1" s="1"/>
  <c r="I2008" i="1"/>
  <c r="I2739" i="1"/>
  <c r="K2739" i="1" s="1"/>
  <c r="K2746" i="1" s="1"/>
  <c r="K2748" i="1" s="1"/>
  <c r="I2766" i="1" s="1"/>
  <c r="K2766" i="1" s="1"/>
  <c r="K2768" i="1" s="1"/>
  <c r="I2027" i="1"/>
  <c r="I1306" i="1"/>
  <c r="I652" i="1"/>
  <c r="K652" i="1" s="1"/>
  <c r="I884" i="1"/>
  <c r="I622" i="1"/>
  <c r="K622" i="1" s="1"/>
  <c r="P551" i="1"/>
  <c r="R551" i="1" s="1"/>
  <c r="R558" i="1" s="1"/>
  <c r="R560" i="1" s="1"/>
  <c r="I396" i="1"/>
  <c r="I314" i="1"/>
  <c r="I413" i="1"/>
  <c r="K413" i="1" s="1"/>
  <c r="I428" i="1"/>
  <c r="K428" i="1" s="1"/>
  <c r="P182" i="1"/>
  <c r="R182" i="1" s="1"/>
  <c r="P309" i="1"/>
  <c r="R309" i="1" s="1"/>
  <c r="I1647" i="1"/>
  <c r="I1912" i="1"/>
  <c r="K1912" i="1" s="1"/>
  <c r="K1916" i="1" s="1"/>
  <c r="K1918" i="1" s="1"/>
  <c r="I1925" i="1" s="1"/>
  <c r="K1925" i="1" s="1"/>
  <c r="K1928" i="1" s="1"/>
  <c r="C378" i="55" s="1"/>
  <c r="I1480" i="1"/>
  <c r="K1480" i="1" s="1"/>
  <c r="I2151" i="1"/>
  <c r="I1407" i="1"/>
  <c r="I1358" i="1"/>
  <c r="I1202" i="1"/>
  <c r="I1455" i="1"/>
  <c r="K1455" i="1" s="1"/>
  <c r="I1394" i="1"/>
  <c r="I866" i="1"/>
  <c r="I528" i="1"/>
  <c r="K528" i="1" s="1"/>
  <c r="P523" i="1"/>
  <c r="R523" i="1" s="1"/>
  <c r="R530" i="1" s="1"/>
  <c r="R532" i="1" s="1"/>
  <c r="I382" i="1"/>
  <c r="I2131" i="1"/>
  <c r="K2131" i="1" s="1"/>
  <c r="I1846" i="1"/>
  <c r="I2385" i="1"/>
  <c r="I1420" i="1"/>
  <c r="I1223" i="1"/>
  <c r="P505" i="1"/>
  <c r="R505" i="1" s="1"/>
  <c r="R512" i="1" s="1"/>
  <c r="R514" i="1" s="1"/>
  <c r="V530" i="1"/>
  <c r="I900" i="1"/>
  <c r="K900" i="1" s="1"/>
  <c r="I552" i="1"/>
  <c r="K552" i="1" s="1"/>
  <c r="I489" i="1"/>
  <c r="K489" i="1" s="1"/>
  <c r="P298" i="1"/>
  <c r="R298" i="1" s="1"/>
  <c r="I338" i="1"/>
  <c r="L1602" i="1"/>
  <c r="L1603" i="1" s="1"/>
  <c r="K1636" i="1"/>
  <c r="K1639" i="1" s="1"/>
  <c r="D8" i="79" s="1"/>
  <c r="F8" i="79" s="1"/>
  <c r="X1356" i="1"/>
  <c r="X1366" i="1" s="1"/>
  <c r="C311" i="55" s="1"/>
  <c r="AB1354" i="1"/>
  <c r="F483" i="64"/>
  <c r="F484" i="64" s="1"/>
  <c r="F487" i="64" s="1"/>
  <c r="I2442" i="27"/>
  <c r="K2442" i="27" s="1"/>
  <c r="K2428" i="27"/>
  <c r="K2362" i="27"/>
  <c r="I2410" i="27"/>
  <c r="K2410" i="27" s="1"/>
  <c r="I3051" i="27"/>
  <c r="I2953" i="27"/>
  <c r="K2933" i="27"/>
  <c r="K2672" i="1"/>
  <c r="P2679" i="1"/>
  <c r="K3322" i="1"/>
  <c r="I3338" i="27"/>
  <c r="K3338" i="27" s="1"/>
  <c r="K3279" i="27"/>
  <c r="C1502" i="55"/>
  <c r="T670" i="11"/>
  <c r="R670" i="11"/>
  <c r="I1614" i="1"/>
  <c r="I1587" i="1"/>
  <c r="K1587" i="1" s="1"/>
  <c r="K1594" i="1" s="1"/>
  <c r="K1596" i="1" s="1"/>
  <c r="C357" i="55" s="1"/>
  <c r="M342" i="11"/>
  <c r="C1467" i="55"/>
  <c r="C936" i="55"/>
  <c r="L959" i="11"/>
  <c r="F273" i="32"/>
  <c r="AR47" i="64"/>
  <c r="F682" i="64"/>
  <c r="K371" i="27"/>
  <c r="V1373" i="1"/>
  <c r="R1412" i="1"/>
  <c r="R1422" i="1" s="1"/>
  <c r="C312" i="55" s="1"/>
  <c r="P1429" i="1"/>
  <c r="K583" i="27"/>
  <c r="I583" i="27"/>
  <c r="K3159" i="27"/>
  <c r="K3160" i="27" s="1"/>
  <c r="K3161" i="27" s="1"/>
  <c r="I3199" i="27"/>
  <c r="K3199" i="27" s="1"/>
  <c r="K3200" i="27" s="1"/>
  <c r="K3201" i="27" s="1"/>
  <c r="K2914" i="27"/>
  <c r="I3037" i="27"/>
  <c r="K3037" i="27" s="1"/>
  <c r="I3059" i="27"/>
  <c r="K3059" i="27" s="1"/>
  <c r="K2941" i="27"/>
  <c r="C682" i="55"/>
  <c r="C392" i="55"/>
  <c r="M353" i="11"/>
  <c r="C1468" i="55"/>
  <c r="L353" i="11"/>
  <c r="C356" i="55"/>
  <c r="I2929" i="1"/>
  <c r="C671" i="55"/>
  <c r="I2938" i="1"/>
  <c r="K2938" i="1" s="1"/>
  <c r="K3447" i="27"/>
  <c r="I3487" i="27"/>
  <c r="K3487" i="27" s="1"/>
  <c r="I2954" i="27"/>
  <c r="K2934" i="27"/>
  <c r="I3052" i="27"/>
  <c r="K3054" i="27"/>
  <c r="I3891" i="27"/>
  <c r="K2938" i="27"/>
  <c r="I3056" i="27"/>
  <c r="K3056" i="27" s="1"/>
  <c r="I2955" i="27"/>
  <c r="K3466" i="27"/>
  <c r="K3468" i="27" s="1"/>
  <c r="L3379" i="27"/>
  <c r="K3536" i="27"/>
  <c r="K3538" i="27" s="1"/>
  <c r="K3539" i="27" s="1"/>
  <c r="K3498" i="27"/>
  <c r="K3500" i="27" s="1"/>
  <c r="I3425" i="27"/>
  <c r="K3425" i="27" s="1"/>
  <c r="K3406" i="27"/>
  <c r="K3623" i="27"/>
  <c r="K3626" i="27" s="1"/>
  <c r="K3627" i="27" s="1"/>
  <c r="I3684" i="27"/>
  <c r="K3684" i="27" s="1"/>
  <c r="I3730" i="27"/>
  <c r="K3812" i="27"/>
  <c r="K3915" i="27"/>
  <c r="K3102" i="27"/>
  <c r="K3456" i="27"/>
  <c r="K3458" i="27" s="1"/>
  <c r="K2213" i="27" s="1"/>
  <c r="L3348" i="27"/>
  <c r="P1483" i="1" l="1"/>
  <c r="R1476" i="1"/>
  <c r="V1437" i="1"/>
  <c r="F454" i="81"/>
  <c r="K271" i="11" s="1"/>
  <c r="R244" i="11" s="1"/>
  <c r="AG244" i="11" s="1"/>
  <c r="K4024" i="1"/>
  <c r="I4035" i="1"/>
  <c r="K4035" i="1" s="1"/>
  <c r="V1451" i="1"/>
  <c r="R1490" i="1"/>
  <c r="P1536" i="1"/>
  <c r="R1536" i="1" s="1"/>
  <c r="I3693" i="27"/>
  <c r="K3693" i="27" s="1"/>
  <c r="K3682" i="27"/>
  <c r="F589" i="25"/>
  <c r="D624" i="25"/>
  <c r="C377" i="55"/>
  <c r="D13" i="79"/>
  <c r="F13" i="79" s="1"/>
  <c r="AF3116" i="1"/>
  <c r="D29" i="79" s="1"/>
  <c r="F29" i="79" s="1"/>
  <c r="C898" i="55"/>
  <c r="D37" i="79"/>
  <c r="F37" i="79" s="1"/>
  <c r="K3280" i="27"/>
  <c r="I3298" i="27"/>
  <c r="K3408" i="27"/>
  <c r="K3409" i="27" s="1"/>
  <c r="K3398" i="27" s="1"/>
  <c r="K3041" i="27"/>
  <c r="K3688" i="27"/>
  <c r="C6" i="55"/>
  <c r="P596" i="1"/>
  <c r="R596" i="1" s="1"/>
  <c r="P609" i="1"/>
  <c r="R609" i="1" s="1"/>
  <c r="K91" i="1"/>
  <c r="K90" i="1"/>
  <c r="C18" i="55"/>
  <c r="K97" i="1"/>
  <c r="K100" i="1" s="1"/>
  <c r="K102" i="1" s="1"/>
  <c r="M97" i="1"/>
  <c r="M98" i="1" s="1"/>
  <c r="K3565" i="1"/>
  <c r="P3568" i="1"/>
  <c r="R3568" i="1" s="1"/>
  <c r="L2692" i="1"/>
  <c r="I3948" i="1"/>
  <c r="K3930" i="1"/>
  <c r="F48" i="32"/>
  <c r="H48" i="32" s="1"/>
  <c r="D111" i="32"/>
  <c r="F111" i="32" s="1"/>
  <c r="K3579" i="1"/>
  <c r="K3581" i="1" s="1"/>
  <c r="K3582" i="1" s="1"/>
  <c r="K3592" i="1" s="1"/>
  <c r="I3593" i="1" s="1"/>
  <c r="I3588" i="1"/>
  <c r="K3588" i="1" s="1"/>
  <c r="K3590" i="1" s="1"/>
  <c r="K3591" i="1" s="1"/>
  <c r="J3593" i="1" s="1"/>
  <c r="J3594" i="1" s="1"/>
  <c r="J3595" i="1" s="1"/>
  <c r="J3596" i="1" s="1"/>
  <c r="K547" i="11"/>
  <c r="K548" i="11" s="1"/>
  <c r="R141" i="1"/>
  <c r="R145" i="1" s="1"/>
  <c r="C562" i="55" s="1"/>
  <c r="K89" i="11"/>
  <c r="L90" i="11" s="1"/>
  <c r="L91" i="11" s="1"/>
  <c r="K35" i="1"/>
  <c r="V1285" i="1"/>
  <c r="X1285" i="1" s="1"/>
  <c r="K1256" i="1"/>
  <c r="K1202" i="1"/>
  <c r="R1603" i="1"/>
  <c r="R1608" i="1" s="1"/>
  <c r="R1610" i="1" s="1"/>
  <c r="K3228" i="1"/>
  <c r="K154" i="11"/>
  <c r="K2937" i="27"/>
  <c r="I3055" i="27"/>
  <c r="K3055" i="27" s="1"/>
  <c r="L446" i="11"/>
  <c r="K2278" i="1"/>
  <c r="C432" i="55" s="1"/>
  <c r="AE3547" i="1"/>
  <c r="K3547" i="1"/>
  <c r="P3551" i="1"/>
  <c r="R3551" i="1" s="1"/>
  <c r="V3547" i="1"/>
  <c r="K3891" i="27"/>
  <c r="K1358" i="1"/>
  <c r="K1881" i="1"/>
  <c r="K1883" i="1" s="1"/>
  <c r="K2690" i="1"/>
  <c r="K2691" i="1" s="1"/>
  <c r="C717" i="55" s="1"/>
  <c r="K3355" i="1"/>
  <c r="K3358" i="1" s="1"/>
  <c r="K3359" i="1" s="1"/>
  <c r="AC13" i="27"/>
  <c r="C72" i="27" s="1"/>
  <c r="Z37" i="27"/>
  <c r="AC37" i="27" s="1"/>
  <c r="I241" i="27" s="1"/>
  <c r="K241" i="27" s="1"/>
  <c r="K246" i="27" s="1"/>
  <c r="K248" i="27" s="1"/>
  <c r="Z14" i="27"/>
  <c r="D691" i="25"/>
  <c r="F691" i="25" s="1"/>
  <c r="F655" i="25"/>
  <c r="R3449" i="1"/>
  <c r="I3529" i="1"/>
  <c r="I3278" i="27"/>
  <c r="K3265" i="27"/>
  <c r="K3268" i="27" s="1"/>
  <c r="K3269" i="27" s="1"/>
  <c r="K3261" i="27" s="1"/>
  <c r="K3262" i="27" s="1"/>
  <c r="I3885" i="27"/>
  <c r="K3049" i="27"/>
  <c r="I3072" i="27"/>
  <c r="I4013" i="1"/>
  <c r="K3997" i="1"/>
  <c r="K3814" i="27"/>
  <c r="K3872" i="27" s="1"/>
  <c r="K1420" i="1"/>
  <c r="K1407" i="1"/>
  <c r="K402" i="11"/>
  <c r="K2276" i="1" s="1"/>
  <c r="C430" i="55" s="1"/>
  <c r="K146" i="11"/>
  <c r="X1394" i="1"/>
  <c r="V1410" i="1"/>
  <c r="P2574" i="1"/>
  <c r="R2574" i="1" s="1"/>
  <c r="K2573" i="1"/>
  <c r="I2608" i="1"/>
  <c r="P2576" i="1"/>
  <c r="R2576" i="1" s="1"/>
  <c r="K2575" i="1"/>
  <c r="M2582" i="1"/>
  <c r="O2582" i="1" s="1"/>
  <c r="O2584" i="1" s="1"/>
  <c r="O2585" i="1" s="1"/>
  <c r="K462" i="11"/>
  <c r="L462" i="11" s="1"/>
  <c r="K931" i="11"/>
  <c r="K3244" i="1"/>
  <c r="AG3560" i="1"/>
  <c r="V3623" i="1"/>
  <c r="I3421" i="27"/>
  <c r="K3402" i="27"/>
  <c r="I3397" i="27" s="1"/>
  <c r="K3397" i="27" s="1"/>
  <c r="L3397" i="27" s="1"/>
  <c r="M3397" i="27" s="1"/>
  <c r="N3397" i="27" s="1"/>
  <c r="O3397" i="27" s="1"/>
  <c r="I3904" i="27"/>
  <c r="I2972" i="27"/>
  <c r="K2972" i="27" s="1"/>
  <c r="K2951" i="27"/>
  <c r="I2961" i="27"/>
  <c r="D535" i="64"/>
  <c r="F410" i="64"/>
  <c r="V1459" i="1"/>
  <c r="R1498" i="1"/>
  <c r="R1641" i="1"/>
  <c r="C890" i="55" s="1"/>
  <c r="P1499" i="1"/>
  <c r="R1468" i="1"/>
  <c r="V679" i="1"/>
  <c r="D44" i="32"/>
  <c r="X709" i="1"/>
  <c r="Z709" i="1" s="1"/>
  <c r="AD1411" i="1"/>
  <c r="AB1428" i="1"/>
  <c r="AD1428" i="1" s="1"/>
  <c r="AB3625" i="1"/>
  <c r="AD3625" i="1" s="1"/>
  <c r="X3625" i="1"/>
  <c r="P1500" i="1"/>
  <c r="R1469" i="1"/>
  <c r="X3591" i="1"/>
  <c r="V3608" i="1"/>
  <c r="X3608" i="1" s="1"/>
  <c r="P1122" i="1"/>
  <c r="R1101" i="1"/>
  <c r="K3057" i="27"/>
  <c r="I3892" i="27"/>
  <c r="Z42" i="1"/>
  <c r="AC42" i="1" s="1"/>
  <c r="Z45" i="1"/>
  <c r="AC45" i="1" s="1"/>
  <c r="AC41" i="1"/>
  <c r="K990" i="11"/>
  <c r="K1093" i="11"/>
  <c r="R1491" i="1"/>
  <c r="V1452" i="1"/>
  <c r="AG3557" i="1"/>
  <c r="V3620" i="1"/>
  <c r="L156" i="11"/>
  <c r="K157" i="11"/>
  <c r="R1222" i="1"/>
  <c r="T1222" i="1" s="1"/>
  <c r="P1264" i="1"/>
  <c r="AB1454" i="1"/>
  <c r="AD1454" i="1" s="1"/>
  <c r="X1456" i="1"/>
  <c r="AD1375" i="1"/>
  <c r="AB1392" i="1"/>
  <c r="AD1392" i="1" s="1"/>
  <c r="I3078" i="1"/>
  <c r="K3078" i="1" s="1"/>
  <c r="P3066" i="1"/>
  <c r="R3066" i="1" s="1"/>
  <c r="K3059" i="1"/>
  <c r="AG3558" i="1"/>
  <c r="V3621" i="1"/>
  <c r="Z13" i="1"/>
  <c r="AC13" i="1" s="1"/>
  <c r="C73" i="1" s="1"/>
  <c r="F76" i="25"/>
  <c r="D65" i="25" s="1"/>
  <c r="D93" i="25" s="1"/>
  <c r="F93" i="25" s="1"/>
  <c r="D114" i="50"/>
  <c r="F114" i="50" s="1"/>
  <c r="F51" i="50"/>
  <c r="AB1396" i="1"/>
  <c r="AD1396" i="1" s="1"/>
  <c r="AD1379" i="1"/>
  <c r="K102" i="27"/>
  <c r="K104" i="27"/>
  <c r="K105" i="27" s="1"/>
  <c r="K4020" i="1"/>
  <c r="I4021" i="1"/>
  <c r="R3329" i="1"/>
  <c r="P3364" i="1"/>
  <c r="R3364" i="1" s="1"/>
  <c r="F46" i="50"/>
  <c r="D109" i="50"/>
  <c r="F109" i="50" s="1"/>
  <c r="I1065" i="11"/>
  <c r="K1065" i="11" s="1"/>
  <c r="K1076" i="11" s="1"/>
  <c r="K220" i="11"/>
  <c r="J540" i="1"/>
  <c r="W539" i="1"/>
  <c r="AC539" i="1" s="1"/>
  <c r="AJ539" i="1" s="1"/>
  <c r="I3886" i="27"/>
  <c r="I3073" i="27"/>
  <c r="K3050" i="27"/>
  <c r="AD1407" i="1"/>
  <c r="AB1424" i="1"/>
  <c r="AD1424" i="1" s="1"/>
  <c r="AB1395" i="1"/>
  <c r="AD1395" i="1" s="1"/>
  <c r="AD1378" i="1"/>
  <c r="X1453" i="1"/>
  <c r="AB1451" i="1"/>
  <c r="AD1451" i="1" s="1"/>
  <c r="F587" i="25"/>
  <c r="D622" i="25"/>
  <c r="P1466" i="1"/>
  <c r="R1449" i="1"/>
  <c r="R3115" i="27"/>
  <c r="P3129" i="27"/>
  <c r="R3129" i="27" s="1"/>
  <c r="J562" i="1"/>
  <c r="W563" i="1"/>
  <c r="AC563" i="1" s="1"/>
  <c r="AJ563" i="1" s="1"/>
  <c r="AJ1203" i="1"/>
  <c r="AC1204" i="1"/>
  <c r="V3574" i="1"/>
  <c r="X3558" i="1"/>
  <c r="K3645" i="1"/>
  <c r="P3469" i="1"/>
  <c r="R3469" i="1" s="1"/>
  <c r="P633" i="27"/>
  <c r="R633" i="27" s="1"/>
  <c r="P590" i="27"/>
  <c r="R590" i="27" s="1"/>
  <c r="P576" i="27"/>
  <c r="R576" i="27" s="1"/>
  <c r="R26" i="11"/>
  <c r="R30" i="11" s="1"/>
  <c r="P59" i="11"/>
  <c r="R59" i="11" s="1"/>
  <c r="R64" i="11" s="1"/>
  <c r="D85" i="25"/>
  <c r="F84" i="25"/>
  <c r="V3588" i="1"/>
  <c r="X3573" i="1"/>
  <c r="K90" i="27"/>
  <c r="P586" i="27"/>
  <c r="R586" i="27" s="1"/>
  <c r="R595" i="27" s="1"/>
  <c r="I2613" i="27"/>
  <c r="K89" i="27"/>
  <c r="P573" i="27"/>
  <c r="R573" i="27" s="1"/>
  <c r="R581" i="27" s="1"/>
  <c r="R1448" i="1"/>
  <c r="P1465" i="1"/>
  <c r="D586" i="25"/>
  <c r="F549" i="25"/>
  <c r="I3962" i="1"/>
  <c r="K3946" i="1"/>
  <c r="K122" i="11"/>
  <c r="I1084" i="11"/>
  <c r="K1084" i="11" s="1"/>
  <c r="W488" i="1"/>
  <c r="AC488" i="1" s="1"/>
  <c r="J664" i="1"/>
  <c r="K3753" i="1"/>
  <c r="K3754" i="1" s="1"/>
  <c r="K2952" i="27"/>
  <c r="I2973" i="27"/>
  <c r="K2973" i="27" s="1"/>
  <c r="I3905" i="27"/>
  <c r="AD1377" i="1"/>
  <c r="AB1394" i="1"/>
  <c r="AD1394" i="1" s="1"/>
  <c r="P2857" i="27"/>
  <c r="K2853" i="27"/>
  <c r="K2859" i="27" s="1"/>
  <c r="L2861" i="27" s="1"/>
  <c r="I3004" i="27"/>
  <c r="K3004" i="27" s="1"/>
  <c r="K3010" i="27" s="1"/>
  <c r="I2916" i="27"/>
  <c r="P1541" i="1"/>
  <c r="R1541" i="1" s="1"/>
  <c r="K3996" i="1"/>
  <c r="AS68" i="1"/>
  <c r="AQ92" i="1"/>
  <c r="X1405" i="1"/>
  <c r="AB1403" i="1"/>
  <c r="I3991" i="1"/>
  <c r="K3991" i="1" s="1"/>
  <c r="K3990" i="1"/>
  <c r="K595" i="11"/>
  <c r="I616" i="11"/>
  <c r="AB1410" i="1"/>
  <c r="X1412" i="1"/>
  <c r="I1309" i="27"/>
  <c r="K1309" i="27" s="1"/>
  <c r="I1287" i="27"/>
  <c r="K1287" i="27" s="1"/>
  <c r="L181" i="11"/>
  <c r="L182" i="11" s="1"/>
  <c r="K187" i="11"/>
  <c r="K191" i="11" s="1"/>
  <c r="K192" i="11" s="1"/>
  <c r="C1461" i="55" s="1"/>
  <c r="K180" i="11"/>
  <c r="C1460" i="55" s="1"/>
  <c r="M180" i="11"/>
  <c r="K843" i="11"/>
  <c r="K817" i="11"/>
  <c r="K786" i="11"/>
  <c r="K463" i="11"/>
  <c r="L464" i="11"/>
  <c r="K2509" i="1"/>
  <c r="K2513" i="1" s="1"/>
  <c r="K2516" i="1" s="1"/>
  <c r="C1420" i="55" s="1"/>
  <c r="P2516" i="1"/>
  <c r="R2516" i="1" s="1"/>
  <c r="R2520" i="1" s="1"/>
  <c r="R2522" i="1" s="1"/>
  <c r="C842" i="55" s="1"/>
  <c r="AD1352" i="1"/>
  <c r="AB1369" i="1"/>
  <c r="K268" i="11"/>
  <c r="P241" i="11"/>
  <c r="R241" i="11" s="1"/>
  <c r="P817" i="11"/>
  <c r="R817" i="11" s="1"/>
  <c r="R821" i="11" s="1"/>
  <c r="R822" i="11" s="1"/>
  <c r="P813" i="11" s="1"/>
  <c r="R813" i="11" s="1"/>
  <c r="R815" i="11" s="1"/>
  <c r="R792" i="11"/>
  <c r="R796" i="11" s="1"/>
  <c r="R797" i="11" s="1"/>
  <c r="L931" i="11"/>
  <c r="K2292" i="1"/>
  <c r="I3019" i="1" s="1"/>
  <c r="K3019" i="1" s="1"/>
  <c r="C702" i="55" s="1"/>
  <c r="C844" i="55"/>
  <c r="K28" i="11"/>
  <c r="V3165" i="1"/>
  <c r="X3140" i="1"/>
  <c r="K857" i="11"/>
  <c r="K858" i="11" s="1"/>
  <c r="K861" i="11" s="1"/>
  <c r="K864" i="11" s="1"/>
  <c r="C1489" i="55" s="1"/>
  <c r="C71" i="1"/>
  <c r="I1304" i="1" s="1"/>
  <c r="K1304" i="1" s="1"/>
  <c r="K248" i="1"/>
  <c r="K250" i="1" s="1"/>
  <c r="C50" i="55" s="1"/>
  <c r="K2281" i="1"/>
  <c r="C454" i="55" s="1"/>
  <c r="L913" i="11"/>
  <c r="M913" i="11"/>
  <c r="K2549" i="1"/>
  <c r="C837" i="55"/>
  <c r="G830" i="64"/>
  <c r="G844" i="64" s="1"/>
  <c r="G845" i="64" s="1"/>
  <c r="G846" i="64" s="1"/>
  <c r="G850" i="64" s="1"/>
  <c r="G851" i="64" s="1"/>
  <c r="E885" i="64"/>
  <c r="G885" i="64" s="1"/>
  <c r="G899" i="64" s="1"/>
  <c r="G900" i="64" s="1"/>
  <c r="G901" i="64" s="1"/>
  <c r="G905" i="64" s="1"/>
  <c r="G906" i="64" s="1"/>
  <c r="L735" i="11"/>
  <c r="K736" i="11"/>
  <c r="M737" i="11"/>
  <c r="P2575" i="1"/>
  <c r="R2575" i="1" s="1"/>
  <c r="R2579" i="1" s="1"/>
  <c r="R2581" i="1" s="1"/>
  <c r="C1421" i="55" s="1"/>
  <c r="I2609" i="1"/>
  <c r="K2574" i="1"/>
  <c r="K2578" i="1" s="1"/>
  <c r="K2581" i="1" s="1"/>
  <c r="K210" i="11"/>
  <c r="K212" i="11" s="1"/>
  <c r="K131" i="11"/>
  <c r="K593" i="11"/>
  <c r="I615" i="11"/>
  <c r="P415" i="1"/>
  <c r="R415" i="1" s="1"/>
  <c r="R417" i="1" s="1"/>
  <c r="R419" i="1" s="1"/>
  <c r="C349" i="55"/>
  <c r="F99" i="25"/>
  <c r="D120" i="25"/>
  <c r="R1895" i="1"/>
  <c r="V1414" i="1"/>
  <c r="X1398" i="1"/>
  <c r="R1470" i="1"/>
  <c r="P1501" i="1"/>
  <c r="V1431" i="1"/>
  <c r="X1431" i="1" s="1"/>
  <c r="P1478" i="1"/>
  <c r="X2782" i="1"/>
  <c r="V2783" i="1"/>
  <c r="X2783" i="1" s="1"/>
  <c r="I3147" i="1"/>
  <c r="I2634" i="1"/>
  <c r="I2814" i="1"/>
  <c r="C89" i="1"/>
  <c r="I3319" i="1"/>
  <c r="K3319" i="1" s="1"/>
  <c r="P3189" i="1"/>
  <c r="I2663" i="1"/>
  <c r="R944" i="1"/>
  <c r="P945" i="1"/>
  <c r="R945" i="1" s="1"/>
  <c r="AC27" i="1"/>
  <c r="Z28" i="1"/>
  <c r="AC28" i="1" s="1"/>
  <c r="K2253" i="1"/>
  <c r="P1048" i="1"/>
  <c r="R1048" i="1" s="1"/>
  <c r="R1047" i="1"/>
  <c r="P1245" i="1"/>
  <c r="R1245" i="1" s="1"/>
  <c r="R1268" i="1"/>
  <c r="V1248" i="1"/>
  <c r="P1384" i="1"/>
  <c r="R1384" i="1" s="1"/>
  <c r="V1302" i="1"/>
  <c r="P1238" i="1"/>
  <c r="R1238" i="1" s="1"/>
  <c r="V1241" i="1"/>
  <c r="R1261" i="1"/>
  <c r="P1267" i="1"/>
  <c r="R1225" i="1"/>
  <c r="T1225" i="1" s="1"/>
  <c r="X3660" i="1"/>
  <c r="X3668" i="1" s="1"/>
  <c r="X3669" i="1" s="1"/>
  <c r="C921" i="55" s="1"/>
  <c r="V3690" i="1"/>
  <c r="AE3661" i="1"/>
  <c r="AG3661" i="1" s="1"/>
  <c r="AG3662" i="1" s="1"/>
  <c r="AG3663" i="1" s="1"/>
  <c r="K3175" i="1"/>
  <c r="K3176" i="1" s="1"/>
  <c r="C1508" i="55" s="1"/>
  <c r="V3587" i="1"/>
  <c r="X3572" i="1"/>
  <c r="I3269" i="1"/>
  <c r="K3269" i="1" s="1"/>
  <c r="L3235" i="1" s="1"/>
  <c r="K3184" i="1"/>
  <c r="I3255" i="1"/>
  <c r="K3255" i="1" s="1"/>
  <c r="V3722" i="1"/>
  <c r="X3722" i="1" s="1"/>
  <c r="X3724" i="1" s="1"/>
  <c r="X3725" i="1" s="1"/>
  <c r="X3708" i="1"/>
  <c r="X3710" i="1" s="1"/>
  <c r="X3711" i="1" s="1"/>
  <c r="R1224" i="1"/>
  <c r="T1224" i="1" s="1"/>
  <c r="P1266" i="1"/>
  <c r="D122" i="25"/>
  <c r="F101" i="25"/>
  <c r="K3185" i="1"/>
  <c r="I3256" i="1"/>
  <c r="K3256" i="1" s="1"/>
  <c r="I3270" i="1"/>
  <c r="K3270" i="1" s="1"/>
  <c r="L3236" i="1" s="1"/>
  <c r="F65" i="25"/>
  <c r="F68" i="25" s="1"/>
  <c r="F69" i="25" s="1"/>
  <c r="C725" i="55"/>
  <c r="D67" i="79" s="1"/>
  <c r="F67" i="79" s="1"/>
  <c r="S1327" i="1"/>
  <c r="I3212" i="1"/>
  <c r="I3243" i="1"/>
  <c r="K3198" i="1"/>
  <c r="K3201" i="1" s="1"/>
  <c r="K3203" i="1" s="1"/>
  <c r="AS93" i="1"/>
  <c r="AQ113" i="1"/>
  <c r="AB1248" i="1"/>
  <c r="X1243" i="1"/>
  <c r="V1242" i="1"/>
  <c r="R1262" i="1"/>
  <c r="P1239" i="1"/>
  <c r="R1239" i="1" s="1"/>
  <c r="I1753" i="1"/>
  <c r="K1753" i="1" s="1"/>
  <c r="I185" i="1"/>
  <c r="K185" i="1" s="1"/>
  <c r="K190" i="1" s="1"/>
  <c r="C42" i="55" s="1"/>
  <c r="I155" i="1"/>
  <c r="K155" i="1" s="1"/>
  <c r="V3564" i="1"/>
  <c r="V3580" i="1" s="1"/>
  <c r="V3528" i="1"/>
  <c r="F28" i="50"/>
  <c r="C907" i="55" s="1"/>
  <c r="X87" i="1"/>
  <c r="X89" i="1" s="1"/>
  <c r="X91" i="1" s="1"/>
  <c r="X92" i="1" s="1"/>
  <c r="I1988" i="1"/>
  <c r="Z17" i="1"/>
  <c r="AC17" i="1" s="1"/>
  <c r="AC16" i="1"/>
  <c r="AC46" i="1"/>
  <c r="Z47" i="1"/>
  <c r="AC47" i="1" s="1"/>
  <c r="AD643" i="1"/>
  <c r="AF643" i="1" s="1"/>
  <c r="X643" i="1"/>
  <c r="C72" i="1"/>
  <c r="P1143" i="1" s="1"/>
  <c r="V802" i="1"/>
  <c r="K3779" i="27"/>
  <c r="K3781" i="27" s="1"/>
  <c r="K3774" i="27"/>
  <c r="R3774" i="27"/>
  <c r="R3779" i="27"/>
  <c r="R3781" i="27" s="1"/>
  <c r="F121" i="25"/>
  <c r="D148" i="25"/>
  <c r="F298" i="64"/>
  <c r="F301" i="64" s="1"/>
  <c r="G81" i="64"/>
  <c r="F81" i="64"/>
  <c r="C942" i="55" s="1"/>
  <c r="I2381" i="27"/>
  <c r="I2392" i="27"/>
  <c r="I2393" i="27" s="1"/>
  <c r="J2378" i="27" s="1"/>
  <c r="X1373" i="1"/>
  <c r="X1383" i="1" s="1"/>
  <c r="C315" i="55" s="1"/>
  <c r="V1390" i="1"/>
  <c r="I3887" i="27"/>
  <c r="K3051" i="27"/>
  <c r="V554" i="1"/>
  <c r="X554" i="1" s="1"/>
  <c r="AB530" i="1"/>
  <c r="X530" i="1"/>
  <c r="K2385" i="1"/>
  <c r="I2399" i="1"/>
  <c r="K1394" i="1"/>
  <c r="K1647" i="1"/>
  <c r="I3642" i="1"/>
  <c r="P1335" i="1"/>
  <c r="K1306" i="1"/>
  <c r="K584" i="1"/>
  <c r="K588" i="1" s="1"/>
  <c r="K590" i="1" s="1"/>
  <c r="I591" i="1" s="1"/>
  <c r="K591" i="1" s="1"/>
  <c r="V584" i="1"/>
  <c r="X584" i="1" s="1"/>
  <c r="X588" i="1" s="1"/>
  <c r="X590" i="1" s="1"/>
  <c r="X591" i="1" s="1"/>
  <c r="P3464" i="1"/>
  <c r="R3464" i="1" s="1"/>
  <c r="K3458" i="1"/>
  <c r="I3825" i="1"/>
  <c r="K3825" i="1" s="1"/>
  <c r="I3392" i="1"/>
  <c r="K3323" i="1"/>
  <c r="V1407" i="1"/>
  <c r="X1391" i="1"/>
  <c r="K2558" i="27"/>
  <c r="K2566" i="27" s="1"/>
  <c r="K2568" i="27" s="1"/>
  <c r="I2589" i="27"/>
  <c r="K2589" i="27" s="1"/>
  <c r="K2597" i="27" s="1"/>
  <c r="K2599" i="27" s="1"/>
  <c r="X3121" i="1"/>
  <c r="I4071" i="1"/>
  <c r="K4071" i="1" s="1"/>
  <c r="V3138" i="1"/>
  <c r="I3630" i="1"/>
  <c r="K3630" i="1" s="1"/>
  <c r="K3609" i="1"/>
  <c r="C1450" i="55"/>
  <c r="C615" i="55"/>
  <c r="C889" i="55"/>
  <c r="C879" i="1"/>
  <c r="K3424" i="27"/>
  <c r="I3446" i="27"/>
  <c r="K1130" i="1"/>
  <c r="X1411" i="1"/>
  <c r="AB1409" i="1"/>
  <c r="AB1391" i="1"/>
  <c r="AD1391" i="1" s="1"/>
  <c r="AD1374" i="1"/>
  <c r="K670" i="11"/>
  <c r="C728" i="55" s="1"/>
  <c r="L670" i="11"/>
  <c r="K3172" i="27"/>
  <c r="K3173" i="27" s="1"/>
  <c r="L3173" i="27" s="1"/>
  <c r="K3153" i="27"/>
  <c r="K3154" i="27" s="1"/>
  <c r="K3183" i="27"/>
  <c r="K3184" i="27" s="1"/>
  <c r="L3184" i="27" s="1"/>
  <c r="I3906" i="27"/>
  <c r="K2953" i="27"/>
  <c r="AB1371" i="1"/>
  <c r="AD1354" i="1"/>
  <c r="AD1364" i="1" s="1"/>
  <c r="C316" i="55" s="1"/>
  <c r="K338" i="1"/>
  <c r="V338" i="1"/>
  <c r="V382" i="1"/>
  <c r="K382" i="1"/>
  <c r="K866" i="1"/>
  <c r="P859" i="1"/>
  <c r="R859" i="1" s="1"/>
  <c r="I3306" i="1"/>
  <c r="K3306" i="1" s="1"/>
  <c r="I3927" i="1"/>
  <c r="V866" i="1"/>
  <c r="X866" i="1" s="1"/>
  <c r="V396" i="1"/>
  <c r="K396" i="1"/>
  <c r="P2009" i="1"/>
  <c r="K2008" i="1"/>
  <c r="K2016" i="1" s="1"/>
  <c r="C389" i="55" s="1"/>
  <c r="AB479" i="1"/>
  <c r="AD479" i="1" s="1"/>
  <c r="X479" i="1"/>
  <c r="K1946" i="1"/>
  <c r="K1949" i="1" s="1"/>
  <c r="C379" i="55" s="1"/>
  <c r="I3567" i="1"/>
  <c r="F416" i="64"/>
  <c r="F420" i="64" s="1"/>
  <c r="D541" i="64"/>
  <c r="AD1376" i="1"/>
  <c r="AB1393" i="1"/>
  <c r="AD1393" i="1" s="1"/>
  <c r="P2982" i="1"/>
  <c r="R2982" i="1" s="1"/>
  <c r="R2987" i="1" s="1"/>
  <c r="R2989" i="1" s="1"/>
  <c r="C1451" i="55" s="1"/>
  <c r="K2975" i="1"/>
  <c r="K2980" i="1" s="1"/>
  <c r="K2982" i="1" s="1"/>
  <c r="C616" i="55" s="1"/>
  <c r="I3060" i="1"/>
  <c r="I879" i="1"/>
  <c r="C672" i="55"/>
  <c r="C359" i="55"/>
  <c r="I3922" i="1"/>
  <c r="P2095" i="1"/>
  <c r="AU136" i="1"/>
  <c r="AV136" i="1" s="1"/>
  <c r="C599" i="55"/>
  <c r="C600" i="55"/>
  <c r="I129" i="11"/>
  <c r="K109" i="11"/>
  <c r="K113" i="11" s="1"/>
  <c r="I227" i="11"/>
  <c r="D452" i="81" s="1"/>
  <c r="F452" i="81" s="1"/>
  <c r="F455" i="81" s="1"/>
  <c r="F457" i="81" s="1"/>
  <c r="F458" i="81" s="1"/>
  <c r="X120" i="1"/>
  <c r="C568" i="55"/>
  <c r="I816" i="27"/>
  <c r="K816" i="27" s="1"/>
  <c r="I834" i="27"/>
  <c r="K834" i="27" s="1"/>
  <c r="I851" i="27"/>
  <c r="K851" i="27" s="1"/>
  <c r="C1471" i="55"/>
  <c r="L402" i="11"/>
  <c r="K403" i="11"/>
  <c r="I2671" i="27"/>
  <c r="K2671" i="27" s="1"/>
  <c r="K2674" i="27" s="1"/>
  <c r="K2676" i="27" s="1"/>
  <c r="K2269" i="27"/>
  <c r="K2414" i="27"/>
  <c r="K2416" i="27" s="1"/>
  <c r="I2422" i="27" s="1"/>
  <c r="K2422" i="27" s="1"/>
  <c r="K2433" i="27" s="1"/>
  <c r="K2435" i="27" s="1"/>
  <c r="K2929" i="1"/>
  <c r="I2948" i="1"/>
  <c r="K3194" i="27"/>
  <c r="K3195" i="27" s="1"/>
  <c r="L3195" i="27" s="1"/>
  <c r="K3209" i="27"/>
  <c r="K3210" i="27" s="1"/>
  <c r="L3210" i="27" s="1"/>
  <c r="K3220" i="27"/>
  <c r="K3221" i="27" s="1"/>
  <c r="R1429" i="1"/>
  <c r="R1439" i="1" s="1"/>
  <c r="C318" i="55" s="1"/>
  <c r="P1445" i="1"/>
  <c r="F683" i="64"/>
  <c r="F686" i="64" s="1"/>
  <c r="K1223" i="1"/>
  <c r="P1218" i="1"/>
  <c r="K2135" i="1"/>
  <c r="V314" i="1"/>
  <c r="K314" i="1"/>
  <c r="V884" i="1"/>
  <c r="K884" i="1"/>
  <c r="C675" i="55"/>
  <c r="C895" i="55"/>
  <c r="V1281" i="1"/>
  <c r="X1281" i="1" s="1"/>
  <c r="K1252" i="1"/>
  <c r="I709" i="1"/>
  <c r="K709" i="1" s="1"/>
  <c r="C277" i="55"/>
  <c r="C1492" i="55"/>
  <c r="L943" i="11"/>
  <c r="I690" i="1"/>
  <c r="K690" i="1" s="1"/>
  <c r="C272" i="55"/>
  <c r="V3559" i="1"/>
  <c r="V3523" i="1"/>
  <c r="X3523" i="1" s="1"/>
  <c r="X3543" i="1"/>
  <c r="AU167" i="1"/>
  <c r="AV167" i="1" s="1"/>
  <c r="C594" i="55"/>
  <c r="I2387" i="1"/>
  <c r="F360" i="64"/>
  <c r="F361" i="64" s="1"/>
  <c r="F364" i="64" s="1"/>
  <c r="C569" i="55"/>
  <c r="X135" i="1"/>
  <c r="M2077" i="1"/>
  <c r="R2077" i="1" s="1"/>
  <c r="K2364" i="27"/>
  <c r="I2365" i="27" s="1"/>
  <c r="I2367" i="27" s="1"/>
  <c r="K2367" i="27" s="1"/>
  <c r="K2376" i="27" s="1"/>
  <c r="K2444" i="27"/>
  <c r="K2446" i="27" s="1"/>
  <c r="K2272" i="27"/>
  <c r="K2274" i="27" s="1"/>
  <c r="R404" i="27"/>
  <c r="R406" i="27" s="1"/>
  <c r="P413" i="27" s="1"/>
  <c r="R413" i="27" s="1"/>
  <c r="R415" i="27" s="1"/>
  <c r="R417" i="27" s="1"/>
  <c r="C19" i="55"/>
  <c r="K121" i="1"/>
  <c r="I584" i="27"/>
  <c r="K584" i="27"/>
  <c r="AR48" i="64"/>
  <c r="AR49" i="64" s="1"/>
  <c r="AR52" i="64" s="1"/>
  <c r="AR53" i="64" s="1"/>
  <c r="P1615" i="1"/>
  <c r="R1615" i="1" s="1"/>
  <c r="R1620" i="1" s="1"/>
  <c r="R1622" i="1" s="1"/>
  <c r="K1614" i="1"/>
  <c r="K1619" i="1" s="1"/>
  <c r="K1621" i="1" s="1"/>
  <c r="C360" i="55" s="1"/>
  <c r="C361" i="55"/>
  <c r="C673" i="55"/>
  <c r="P1862" i="1"/>
  <c r="K1846" i="1"/>
  <c r="K1853" i="1" s="1"/>
  <c r="K1855" i="1" s="1"/>
  <c r="I1889" i="1" s="1"/>
  <c r="K2151" i="1"/>
  <c r="P2158" i="1"/>
  <c r="R2158" i="1" s="1"/>
  <c r="P2027" i="1"/>
  <c r="R2027" i="1" s="1"/>
  <c r="R2038" i="1" s="1"/>
  <c r="C872" i="55" s="1"/>
  <c r="K2027" i="1"/>
  <c r="K2035" i="1" s="1"/>
  <c r="C390" i="55" s="1"/>
  <c r="V358" i="1"/>
  <c r="K358" i="1"/>
  <c r="I613" i="1"/>
  <c r="K613" i="1"/>
  <c r="AB1266" i="1"/>
  <c r="AD1266" i="1" s="1"/>
  <c r="I1287" i="1"/>
  <c r="K1287" i="1" s="1"/>
  <c r="K1273" i="1"/>
  <c r="K537" i="11"/>
  <c r="I532" i="11" s="1"/>
  <c r="K532" i="11" s="1"/>
  <c r="K535" i="11" s="1"/>
  <c r="L535" i="11" s="1"/>
  <c r="I571" i="11"/>
  <c r="D603" i="64"/>
  <c r="F603" i="64" s="1"/>
  <c r="F540" i="64"/>
  <c r="R1446" i="1"/>
  <c r="P1463" i="1"/>
  <c r="AE3559" i="1"/>
  <c r="AG3543" i="1"/>
  <c r="K731" i="27"/>
  <c r="K733" i="27" s="1"/>
  <c r="I740" i="27"/>
  <c r="K740" i="27" s="1"/>
  <c r="K755" i="27" s="1"/>
  <c r="K757" i="27" s="1"/>
  <c r="I2939" i="1"/>
  <c r="K2939" i="1" s="1"/>
  <c r="I2930" i="1"/>
  <c r="C596" i="55"/>
  <c r="X90" i="1"/>
  <c r="K708" i="11"/>
  <c r="C699" i="55" s="1"/>
  <c r="L709" i="11"/>
  <c r="L192" i="11"/>
  <c r="K3427" i="27"/>
  <c r="K3428" i="27" s="1"/>
  <c r="K3417" i="27" s="1"/>
  <c r="L3417" i="27" s="1"/>
  <c r="R3075" i="27"/>
  <c r="K635" i="11"/>
  <c r="L548" i="11"/>
  <c r="K3617" i="27"/>
  <c r="K3648" i="27"/>
  <c r="K3674" i="27"/>
  <c r="I3908" i="27"/>
  <c r="I2985" i="27"/>
  <c r="K2985" i="27" s="1"/>
  <c r="K2988" i="27" s="1"/>
  <c r="I2958" i="27"/>
  <c r="K2958" i="27" s="1"/>
  <c r="K2955" i="27"/>
  <c r="I3907" i="27"/>
  <c r="K2954" i="27"/>
  <c r="I3747" i="27"/>
  <c r="K3747" i="27" s="1"/>
  <c r="K3749" i="27" s="1"/>
  <c r="K3750" i="27" s="1"/>
  <c r="K3743" i="27" s="1"/>
  <c r="K3730" i="27"/>
  <c r="K3733" i="27" s="1"/>
  <c r="K3726" i="27" s="1"/>
  <c r="K3727" i="27" s="1"/>
  <c r="M3727" i="27" s="1"/>
  <c r="K625" i="11"/>
  <c r="K627" i="11" s="1"/>
  <c r="K2291" i="1" s="1"/>
  <c r="C453" i="55" s="1"/>
  <c r="L517" i="11"/>
  <c r="K2879" i="27"/>
  <c r="K3836" i="27"/>
  <c r="K3815" i="27"/>
  <c r="L3815" i="27" s="1"/>
  <c r="K3689" i="27"/>
  <c r="K3692" i="27" s="1"/>
  <c r="K3695" i="27" s="1"/>
  <c r="L3690" i="27"/>
  <c r="L3398" i="27"/>
  <c r="L3502" i="27"/>
  <c r="K3501" i="27"/>
  <c r="I3888" i="27"/>
  <c r="K3052" i="27"/>
  <c r="X1451" i="1" l="1"/>
  <c r="AB1449" i="1"/>
  <c r="AD1449" i="1" s="1"/>
  <c r="AB1435" i="1"/>
  <c r="AD1435" i="1" s="1"/>
  <c r="X1437" i="1"/>
  <c r="K3999" i="1"/>
  <c r="K4000" i="1" s="1"/>
  <c r="V1444" i="1"/>
  <c r="R1483" i="1"/>
  <c r="K2977" i="27"/>
  <c r="C897" i="55"/>
  <c r="D660" i="25"/>
  <c r="F624" i="25"/>
  <c r="C376" i="55"/>
  <c r="D12" i="79"/>
  <c r="F12" i="79" s="1"/>
  <c r="C1514" i="55"/>
  <c r="F46" i="79"/>
  <c r="C1509" i="55"/>
  <c r="F49" i="79"/>
  <c r="I1645" i="1"/>
  <c r="K1645" i="1" s="1"/>
  <c r="K1652" i="1" s="1"/>
  <c r="K1654" i="1" s="1"/>
  <c r="C363" i="55" s="1"/>
  <c r="L2862" i="27"/>
  <c r="M89" i="11"/>
  <c r="K2860" i="27"/>
  <c r="K90" i="11"/>
  <c r="C690" i="55" s="1"/>
  <c r="K596" i="11"/>
  <c r="K597" i="11" s="1"/>
  <c r="K586" i="11" s="1"/>
  <c r="L586" i="11" s="1"/>
  <c r="M586" i="11" s="1"/>
  <c r="N586" i="11" s="1"/>
  <c r="O586" i="11" s="1"/>
  <c r="M463" i="11"/>
  <c r="I3323" i="27"/>
  <c r="K3323" i="27" s="1"/>
  <c r="K3298" i="27"/>
  <c r="C894" i="55"/>
  <c r="C7" i="55"/>
  <c r="L90" i="1"/>
  <c r="M90" i="1" s="1"/>
  <c r="I1768" i="1"/>
  <c r="K1768" i="1" s="1"/>
  <c r="K1776" i="1" s="1"/>
  <c r="C371" i="55" s="1"/>
  <c r="P2345" i="1"/>
  <c r="R2345" i="1" s="1"/>
  <c r="C9" i="55"/>
  <c r="K92" i="1"/>
  <c r="C10" i="55" s="1"/>
  <c r="C12" i="55"/>
  <c r="K103" i="1"/>
  <c r="C13" i="55" s="1"/>
  <c r="K105" i="1"/>
  <c r="I3964" i="1"/>
  <c r="K3948" i="1"/>
  <c r="K2387" i="1"/>
  <c r="K3593" i="1"/>
  <c r="I3594" i="1" s="1"/>
  <c r="K3594" i="1" s="1"/>
  <c r="I3595" i="1" s="1"/>
  <c r="K3907" i="27"/>
  <c r="R2009" i="1"/>
  <c r="R2019" i="1" s="1"/>
  <c r="C871" i="55" s="1"/>
  <c r="K3886" i="27"/>
  <c r="K3892" i="27"/>
  <c r="AB3623" i="1"/>
  <c r="AD3623" i="1" s="1"/>
  <c r="X3623" i="1"/>
  <c r="K2267" i="1"/>
  <c r="C421" i="55" s="1"/>
  <c r="C692" i="55"/>
  <c r="L146" i="11"/>
  <c r="C918" i="55"/>
  <c r="I3545" i="1"/>
  <c r="P3533" i="1"/>
  <c r="R3533" i="1" s="1"/>
  <c r="R3537" i="1" s="1"/>
  <c r="R3538" i="1" s="1"/>
  <c r="K3529" i="1"/>
  <c r="K3533" i="1" s="1"/>
  <c r="K3534" i="1" s="1"/>
  <c r="C813" i="55" s="1"/>
  <c r="AC14" i="27"/>
  <c r="Z15" i="27"/>
  <c r="AC15" i="27" s="1"/>
  <c r="AE3563" i="1"/>
  <c r="AG3547" i="1"/>
  <c r="K3642" i="1"/>
  <c r="K3648" i="1" s="1"/>
  <c r="K3649" i="1" s="1"/>
  <c r="C896" i="55" s="1"/>
  <c r="K3887" i="27"/>
  <c r="D597" i="64"/>
  <c r="F597" i="64" s="1"/>
  <c r="F535" i="64"/>
  <c r="K3904" i="27"/>
  <c r="K3885" i="27"/>
  <c r="I3895" i="27"/>
  <c r="V3563" i="1"/>
  <c r="V3527" i="1"/>
  <c r="X3527" i="1" s="1"/>
  <c r="X3547" i="1"/>
  <c r="K637" i="11"/>
  <c r="L637" i="11" s="1"/>
  <c r="K3888" i="27"/>
  <c r="K3878" i="27"/>
  <c r="X1459" i="1"/>
  <c r="AB1457" i="1"/>
  <c r="AD1457" i="1" s="1"/>
  <c r="I3914" i="27"/>
  <c r="K2961" i="27"/>
  <c r="I4028" i="1"/>
  <c r="I41" i="25"/>
  <c r="K4013" i="1"/>
  <c r="K4015" i="1" s="1"/>
  <c r="K4016" i="1" s="1"/>
  <c r="K3906" i="27"/>
  <c r="K3905" i="27"/>
  <c r="K3421" i="27"/>
  <c r="I3416" i="27" s="1"/>
  <c r="K3416" i="27" s="1"/>
  <c r="L3416" i="27" s="1"/>
  <c r="I3443" i="27"/>
  <c r="K2608" i="1"/>
  <c r="H3853" i="1"/>
  <c r="X1410" i="1"/>
  <c r="AB1408" i="1"/>
  <c r="I3931" i="27"/>
  <c r="I3075" i="27"/>
  <c r="K3072" i="27"/>
  <c r="K3278" i="27"/>
  <c r="K3281" i="27" s="1"/>
  <c r="K3282" i="27" s="1"/>
  <c r="K3275" i="27" s="1"/>
  <c r="K3277" i="27" s="1"/>
  <c r="I3337" i="27"/>
  <c r="K3337" i="27" s="1"/>
  <c r="K3339" i="27" s="1"/>
  <c r="K3340" i="27" s="1"/>
  <c r="I3297" i="27"/>
  <c r="Z14" i="1"/>
  <c r="Z15" i="1" s="1"/>
  <c r="I504" i="1"/>
  <c r="K504" i="1" s="1"/>
  <c r="AB3621" i="1"/>
  <c r="AD3621" i="1" s="1"/>
  <c r="X3621" i="1"/>
  <c r="X1452" i="1"/>
  <c r="AB1450" i="1"/>
  <c r="AD1450" i="1" s="1"/>
  <c r="R1264" i="1"/>
  <c r="P1241" i="1"/>
  <c r="R1241" i="1" s="1"/>
  <c r="V1244" i="1"/>
  <c r="P2832" i="1"/>
  <c r="I2825" i="1"/>
  <c r="R1122" i="1"/>
  <c r="M857" i="11"/>
  <c r="L157" i="11"/>
  <c r="K2269" i="1"/>
  <c r="C423" i="55" s="1"/>
  <c r="K158" i="11"/>
  <c r="C694" i="55"/>
  <c r="V336" i="1"/>
  <c r="X336" i="1" s="1"/>
  <c r="V380" i="1"/>
  <c r="P80" i="1"/>
  <c r="R80" i="1" s="1"/>
  <c r="V312" i="1"/>
  <c r="X312" i="1" s="1"/>
  <c r="V356" i="1"/>
  <c r="X356" i="1" s="1"/>
  <c r="F44" i="32"/>
  <c r="H44" i="32" s="1"/>
  <c r="D107" i="32"/>
  <c r="F107" i="32" s="1"/>
  <c r="L859" i="11"/>
  <c r="AQ108" i="1"/>
  <c r="AS108" i="1" s="1"/>
  <c r="AU108" i="1" s="1"/>
  <c r="AV108" i="1" s="1"/>
  <c r="AQ88" i="1"/>
  <c r="AS88" i="1" s="1"/>
  <c r="AQ64" i="1"/>
  <c r="AS64" i="1" s="1"/>
  <c r="AQ133" i="1"/>
  <c r="AS133" i="1" s="1"/>
  <c r="AU133" i="1" s="1"/>
  <c r="AV133" i="1" s="1"/>
  <c r="AQ164" i="1"/>
  <c r="V765" i="1"/>
  <c r="X765" i="1" s="1"/>
  <c r="V733" i="1"/>
  <c r="X733" i="1" s="1"/>
  <c r="X679" i="1"/>
  <c r="D44" i="50"/>
  <c r="X3620" i="1"/>
  <c r="AB3620" i="1"/>
  <c r="AD3620" i="1" s="1"/>
  <c r="AE336" i="1"/>
  <c r="AG336" i="1" s="1"/>
  <c r="AE389" i="1"/>
  <c r="AE365" i="1"/>
  <c r="AG365" i="1" s="1"/>
  <c r="AE312" i="1"/>
  <c r="AG312" i="1" s="1"/>
  <c r="V1461" i="1"/>
  <c r="R1500" i="1"/>
  <c r="R1499" i="1"/>
  <c r="V1460" i="1"/>
  <c r="S33" i="11"/>
  <c r="R32" i="11"/>
  <c r="F103" i="25"/>
  <c r="R65" i="11"/>
  <c r="S67" i="11"/>
  <c r="T65" i="11"/>
  <c r="T64" i="11" s="1"/>
  <c r="K3188" i="1"/>
  <c r="K3189" i="1" s="1"/>
  <c r="C1507" i="55" s="1"/>
  <c r="AD1410" i="1"/>
  <c r="AB1427" i="1"/>
  <c r="AD1427" i="1" s="1"/>
  <c r="D621" i="25"/>
  <c r="F586" i="25"/>
  <c r="I1698" i="27"/>
  <c r="K1698" i="27" s="1"/>
  <c r="K1706" i="27" s="1"/>
  <c r="K91" i="27"/>
  <c r="D86" i="25"/>
  <c r="F85" i="25"/>
  <c r="AJ1204" i="1"/>
  <c r="AC1205" i="1"/>
  <c r="K4021" i="1"/>
  <c r="I4022" i="1"/>
  <c r="K4022" i="1" s="1"/>
  <c r="AQ112" i="1"/>
  <c r="AS92" i="1"/>
  <c r="L3018" i="27"/>
  <c r="L3012" i="27"/>
  <c r="K3011" i="27"/>
  <c r="K3018" i="27"/>
  <c r="K3022" i="27" s="1"/>
  <c r="V3589" i="1"/>
  <c r="X3574" i="1"/>
  <c r="W564" i="1"/>
  <c r="AC564" i="1" s="1"/>
  <c r="AJ564" i="1" s="1"/>
  <c r="J563" i="1"/>
  <c r="P1497" i="1"/>
  <c r="V1427" i="1"/>
  <c r="X1427" i="1" s="1"/>
  <c r="R1466" i="1"/>
  <c r="K3073" i="27"/>
  <c r="I3099" i="27"/>
  <c r="I3932" i="27"/>
  <c r="K3932" i="27" s="1"/>
  <c r="K1077" i="11"/>
  <c r="L1078" i="11"/>
  <c r="M1077" i="11"/>
  <c r="C567" i="55"/>
  <c r="K616" i="11"/>
  <c r="I656" i="11"/>
  <c r="K656" i="11" s="1"/>
  <c r="AD1403" i="1"/>
  <c r="AB1420" i="1"/>
  <c r="AD1420" i="1" s="1"/>
  <c r="P2890" i="27"/>
  <c r="R2890" i="27" s="1"/>
  <c r="R2895" i="27" s="1"/>
  <c r="R2857" i="27"/>
  <c r="R2862" i="27" s="1"/>
  <c r="J665" i="1"/>
  <c r="W489" i="1"/>
  <c r="AC489" i="1" s="1"/>
  <c r="I2940" i="27"/>
  <c r="K2916" i="27"/>
  <c r="K2920" i="27" s="1"/>
  <c r="I3039" i="27"/>
  <c r="K3039" i="27" s="1"/>
  <c r="K3043" i="27" s="1"/>
  <c r="L2977" i="27"/>
  <c r="K2189" i="27"/>
  <c r="C886" i="55"/>
  <c r="I3979" i="1"/>
  <c r="K3979" i="1" s="1"/>
  <c r="K3962" i="1"/>
  <c r="P1496" i="1"/>
  <c r="R1465" i="1"/>
  <c r="V1426" i="1"/>
  <c r="X1426" i="1" s="1"/>
  <c r="I2691" i="27"/>
  <c r="K2691" i="27" s="1"/>
  <c r="K2613" i="27"/>
  <c r="V3605" i="1"/>
  <c r="X3605" i="1" s="1"/>
  <c r="X3588" i="1"/>
  <c r="F622" i="25"/>
  <c r="D658" i="25"/>
  <c r="W540" i="1"/>
  <c r="AC540" i="1" s="1"/>
  <c r="AJ540" i="1" s="1"/>
  <c r="J541" i="1"/>
  <c r="I1153" i="11"/>
  <c r="K1153" i="11" s="1"/>
  <c r="I1174" i="11"/>
  <c r="K213" i="11"/>
  <c r="C1462" i="55" s="1"/>
  <c r="L213" i="11"/>
  <c r="K615" i="11"/>
  <c r="I655" i="11"/>
  <c r="K655" i="11" s="1"/>
  <c r="K657" i="11" s="1"/>
  <c r="K658" i="11" s="1"/>
  <c r="K648" i="11" s="1"/>
  <c r="C838" i="55"/>
  <c r="K2584" i="1"/>
  <c r="C845" i="55"/>
  <c r="H3854" i="1"/>
  <c r="K2609" i="1"/>
  <c r="K2613" i="1" s="1"/>
  <c r="K2616" i="1" s="1"/>
  <c r="M2616" i="1" s="1"/>
  <c r="L29" i="11"/>
  <c r="K29" i="11"/>
  <c r="K48" i="11"/>
  <c r="R787" i="11"/>
  <c r="R789" i="11" s="1"/>
  <c r="P805" i="11" s="1"/>
  <c r="P787" i="11"/>
  <c r="AD1369" i="1"/>
  <c r="AB1386" i="1"/>
  <c r="AD1386" i="1" s="1"/>
  <c r="C846" i="55"/>
  <c r="X3165" i="1"/>
  <c r="D553" i="25"/>
  <c r="S815" i="11"/>
  <c r="C929" i="55"/>
  <c r="C436" i="55"/>
  <c r="K2282" i="1"/>
  <c r="R956" i="1"/>
  <c r="R958" i="1" s="1"/>
  <c r="R1058" i="1"/>
  <c r="R1060" i="1" s="1"/>
  <c r="F120" i="25"/>
  <c r="D147" i="25"/>
  <c r="AB1412" i="1"/>
  <c r="X1414" i="1"/>
  <c r="R1478" i="1"/>
  <c r="V1439" i="1"/>
  <c r="P1485" i="1"/>
  <c r="R1501" i="1"/>
  <c r="V1462" i="1"/>
  <c r="K2265" i="1"/>
  <c r="C419" i="55" s="1"/>
  <c r="P2670" i="1"/>
  <c r="K2663" i="1"/>
  <c r="I3101" i="1"/>
  <c r="K2814" i="1"/>
  <c r="AE2787" i="1"/>
  <c r="AG2787" i="1" s="1"/>
  <c r="I2864" i="1"/>
  <c r="K2864" i="1" s="1"/>
  <c r="P2821" i="1"/>
  <c r="I2635" i="1"/>
  <c r="I3148" i="1"/>
  <c r="C90" i="1"/>
  <c r="P3190" i="1"/>
  <c r="I2815" i="1"/>
  <c r="I3320" i="1"/>
  <c r="I2664" i="1"/>
  <c r="I1016" i="1"/>
  <c r="K1016" i="1" s="1"/>
  <c r="I3388" i="1"/>
  <c r="I3478" i="1" s="1"/>
  <c r="K3478" i="1" s="1"/>
  <c r="I986" i="1"/>
  <c r="K986" i="1" s="1"/>
  <c r="I1054" i="1"/>
  <c r="P211" i="1"/>
  <c r="R211" i="1" s="1"/>
  <c r="I922" i="1"/>
  <c r="K922" i="1" s="1"/>
  <c r="K924" i="1" s="1"/>
  <c r="C290" i="55" s="1"/>
  <c r="I951" i="1"/>
  <c r="I1128" i="1"/>
  <c r="K1128" i="1" s="1"/>
  <c r="I2816" i="1"/>
  <c r="C91" i="1"/>
  <c r="P3260" i="1"/>
  <c r="R3260" i="1" s="1"/>
  <c r="I3283" i="1"/>
  <c r="K3147" i="1"/>
  <c r="P3154" i="1"/>
  <c r="R3154" i="1" s="1"/>
  <c r="M2257" i="1"/>
  <c r="L2222" i="1"/>
  <c r="K2256" i="1"/>
  <c r="K2289" i="1" s="1"/>
  <c r="C447" i="55" s="1"/>
  <c r="R3189" i="1"/>
  <c r="P3258" i="1"/>
  <c r="R3258" i="1" s="1"/>
  <c r="P3222" i="1"/>
  <c r="P3292" i="1"/>
  <c r="V2602" i="1"/>
  <c r="K2634" i="1"/>
  <c r="P2641" i="1"/>
  <c r="I3421" i="1"/>
  <c r="K3421" i="1" s="1"/>
  <c r="AQ138" i="1"/>
  <c r="AS113" i="1"/>
  <c r="AU113" i="1" s="1"/>
  <c r="AV113" i="1" s="1"/>
  <c r="K3212" i="1"/>
  <c r="I3227" i="1"/>
  <c r="R1267" i="1"/>
  <c r="P1383" i="1"/>
  <c r="R1383" i="1" s="1"/>
  <c r="P1244" i="1"/>
  <c r="R1244" i="1" s="1"/>
  <c r="V1247" i="1"/>
  <c r="X1302" i="1"/>
  <c r="V1322" i="1"/>
  <c r="X1322" i="1" s="1"/>
  <c r="AD1248" i="1"/>
  <c r="AB1220" i="1"/>
  <c r="AD1220" i="1" s="1"/>
  <c r="K3243" i="1"/>
  <c r="I3268" i="1"/>
  <c r="K3268" i="1" s="1"/>
  <c r="P1243" i="1"/>
  <c r="R1243" i="1" s="1"/>
  <c r="V1246" i="1"/>
  <c r="R1266" i="1"/>
  <c r="P1382" i="1"/>
  <c r="R1382" i="1" s="1"/>
  <c r="X1241" i="1"/>
  <c r="AB1246" i="1"/>
  <c r="AB1253" i="1"/>
  <c r="X1248" i="1"/>
  <c r="AB1247" i="1"/>
  <c r="X1242" i="1"/>
  <c r="F122" i="25"/>
  <c r="D149" i="25"/>
  <c r="X3587" i="1"/>
  <c r="V3604" i="1"/>
  <c r="X3690" i="1"/>
  <c r="X3696" i="1" s="1"/>
  <c r="X3697" i="1" s="1"/>
  <c r="C922" i="55" s="1"/>
  <c r="V707" i="1"/>
  <c r="D42" i="32" s="1"/>
  <c r="C337" i="55"/>
  <c r="D58" i="79" s="1"/>
  <c r="F58" i="79" s="1"/>
  <c r="I256" i="1"/>
  <c r="K256" i="1" s="1"/>
  <c r="K260" i="1" s="1"/>
  <c r="K262" i="1" s="1"/>
  <c r="C51" i="55" s="1"/>
  <c r="C80" i="1"/>
  <c r="I36" i="1"/>
  <c r="C79" i="1"/>
  <c r="I3505" i="1"/>
  <c r="R1143" i="1"/>
  <c r="P1174" i="1"/>
  <c r="R1174" i="1" s="1"/>
  <c r="X772" i="1"/>
  <c r="X802" i="1"/>
  <c r="V817" i="1"/>
  <c r="X817" i="1" s="1"/>
  <c r="AC14" i="1"/>
  <c r="I2898" i="1"/>
  <c r="K2898" i="1" s="1"/>
  <c r="K1311" i="1"/>
  <c r="K1313" i="1" s="1"/>
  <c r="C336" i="55" s="1"/>
  <c r="D170" i="25"/>
  <c r="F170" i="25" s="1"/>
  <c r="F148" i="25"/>
  <c r="V3622" i="1"/>
  <c r="AG3559" i="1"/>
  <c r="P1893" i="1"/>
  <c r="R1862" i="1"/>
  <c r="R1869" i="1" s="1"/>
  <c r="R1871" i="1" s="1"/>
  <c r="P1880" i="1" s="1"/>
  <c r="R1880" i="1" s="1"/>
  <c r="R1882" i="1" s="1"/>
  <c r="X3559" i="1"/>
  <c r="V3575" i="1"/>
  <c r="P1260" i="1"/>
  <c r="R1218" i="1"/>
  <c r="T1218" i="1" s="1"/>
  <c r="P1462" i="1"/>
  <c r="R1445" i="1"/>
  <c r="R1455" i="1" s="1"/>
  <c r="R1456" i="1" s="1"/>
  <c r="C771" i="55" s="1"/>
  <c r="R2095" i="1"/>
  <c r="P2101" i="1"/>
  <c r="V879" i="1"/>
  <c r="K879" i="1"/>
  <c r="I895" i="1"/>
  <c r="K895" i="1" s="1"/>
  <c r="I861" i="1"/>
  <c r="F541" i="64"/>
  <c r="F545" i="64" s="1"/>
  <c r="D604" i="64"/>
  <c r="F604" i="64" s="1"/>
  <c r="F608" i="64" s="1"/>
  <c r="AE338" i="1"/>
  <c r="AG338" i="1" s="1"/>
  <c r="X338" i="1"/>
  <c r="K2196" i="27"/>
  <c r="L3154" i="27"/>
  <c r="C654" i="55"/>
  <c r="X592" i="1"/>
  <c r="K2399" i="1"/>
  <c r="K2404" i="1" s="1"/>
  <c r="C385" i="55" s="1"/>
  <c r="I2411" i="1"/>
  <c r="C598" i="55"/>
  <c r="I1898" i="1"/>
  <c r="K1898" i="1" s="1"/>
  <c r="K1900" i="1" s="1"/>
  <c r="K1889" i="1"/>
  <c r="K1891" i="1" s="1"/>
  <c r="D11" i="79" s="1"/>
  <c r="F11" i="79" s="1"/>
  <c r="C278" i="55"/>
  <c r="I710" i="1"/>
  <c r="K710" i="1" s="1"/>
  <c r="X884" i="1"/>
  <c r="V900" i="1"/>
  <c r="X900" i="1" s="1"/>
  <c r="K2451" i="27"/>
  <c r="K2448" i="27"/>
  <c r="I1091" i="11"/>
  <c r="K129" i="11"/>
  <c r="K133" i="11" s="1"/>
  <c r="P3067" i="1"/>
  <c r="R3067" i="1" s="1"/>
  <c r="R3072" i="1" s="1"/>
  <c r="R3074" i="1" s="1"/>
  <c r="C1454" i="55" s="1"/>
  <c r="K3060" i="1"/>
  <c r="K3065" i="1" s="1"/>
  <c r="K3067" i="1" s="1"/>
  <c r="C1453" i="55" s="1"/>
  <c r="I3079" i="1"/>
  <c r="K3079" i="1" s="1"/>
  <c r="K3084" i="1" s="1"/>
  <c r="K3086" i="1" s="1"/>
  <c r="C1452" i="55" s="1"/>
  <c r="P3570" i="1"/>
  <c r="R3570" i="1" s="1"/>
  <c r="R3573" i="1" s="1"/>
  <c r="C677" i="55" s="1"/>
  <c r="K3567" i="1"/>
  <c r="K3570" i="1" s="1"/>
  <c r="V413" i="1"/>
  <c r="X413" i="1" s="1"/>
  <c r="AE391" i="1"/>
  <c r="X382" i="1"/>
  <c r="AB1388" i="1"/>
  <c r="AD1388" i="1" s="1"/>
  <c r="AD1371" i="1"/>
  <c r="AD1381" i="1" s="1"/>
  <c r="C314" i="55" s="1"/>
  <c r="K3446" i="27"/>
  <c r="K3448" i="27" s="1"/>
  <c r="K3449" i="27" s="1"/>
  <c r="K3439" i="27" s="1"/>
  <c r="I3486" i="27"/>
  <c r="K3486" i="27" s="1"/>
  <c r="K3488" i="27" s="1"/>
  <c r="K3489" i="27" s="1"/>
  <c r="K3479" i="27" s="1"/>
  <c r="AB1405" i="1"/>
  <c r="X1407" i="1"/>
  <c r="AB1191" i="1"/>
  <c r="R1335" i="1"/>
  <c r="V1301" i="1"/>
  <c r="AB554" i="1"/>
  <c r="AD530" i="1"/>
  <c r="AI530" i="1"/>
  <c r="C660" i="55"/>
  <c r="I614" i="1"/>
  <c r="C258" i="55"/>
  <c r="K614" i="1"/>
  <c r="C273" i="55"/>
  <c r="I691" i="1"/>
  <c r="K691" i="1" s="1"/>
  <c r="C274" i="55" s="1"/>
  <c r="K3595" i="1"/>
  <c r="I3596" i="1" s="1"/>
  <c r="K1988" i="1"/>
  <c r="P1988" i="1"/>
  <c r="K2199" i="27"/>
  <c r="K3229" i="27"/>
  <c r="K3233" i="27" s="1"/>
  <c r="K2198" i="27" s="1"/>
  <c r="L3221" i="27"/>
  <c r="K114" i="11"/>
  <c r="L114" i="11"/>
  <c r="X396" i="1"/>
  <c r="V428" i="1"/>
  <c r="X428" i="1" s="1"/>
  <c r="K3927" i="1"/>
  <c r="I3945" i="1"/>
  <c r="AB1426" i="1"/>
  <c r="AD1426" i="1" s="1"/>
  <c r="AD1409" i="1"/>
  <c r="X1390" i="1"/>
  <c r="X1400" i="1" s="1"/>
  <c r="C309" i="55" s="1"/>
  <c r="V1406" i="1"/>
  <c r="K2930" i="1"/>
  <c r="I2949" i="1"/>
  <c r="P1494" i="1"/>
  <c r="P1477" i="1"/>
  <c r="R1463" i="1"/>
  <c r="K571" i="11"/>
  <c r="I566" i="11" s="1"/>
  <c r="I590" i="11"/>
  <c r="AE367" i="1"/>
  <c r="AG367" i="1" s="1"/>
  <c r="X358" i="1"/>
  <c r="K2155" i="1"/>
  <c r="K585" i="27"/>
  <c r="I585" i="27"/>
  <c r="C20" i="55"/>
  <c r="K122" i="1"/>
  <c r="C21" i="55" s="1"/>
  <c r="I2380" i="27"/>
  <c r="I2382" i="27" s="1"/>
  <c r="I2383" i="27" s="1"/>
  <c r="I2355" i="27" s="1"/>
  <c r="K2355" i="27" s="1"/>
  <c r="I2377" i="27"/>
  <c r="AE314" i="1"/>
  <c r="X314" i="1"/>
  <c r="AQ66" i="1"/>
  <c r="I2957" i="1"/>
  <c r="K2957" i="1" s="1"/>
  <c r="K2948" i="1"/>
  <c r="K227" i="11"/>
  <c r="K231" i="11" s="1"/>
  <c r="I3940" i="1"/>
  <c r="K3922" i="1"/>
  <c r="F421" i="64"/>
  <c r="F422" i="64" s="1"/>
  <c r="F425" i="64" s="1"/>
  <c r="V3163" i="1"/>
  <c r="X3138" i="1"/>
  <c r="C252" i="55"/>
  <c r="I592" i="1"/>
  <c r="K592" i="1" s="1"/>
  <c r="C648" i="55"/>
  <c r="L2988" i="27"/>
  <c r="C888" i="55"/>
  <c r="K2191" i="27"/>
  <c r="C1448" i="55"/>
  <c r="C723" i="55"/>
  <c r="K3848" i="27"/>
  <c r="K3840" i="27"/>
  <c r="K3761" i="27"/>
  <c r="K3762" i="27" s="1"/>
  <c r="K3744" i="27"/>
  <c r="K3908" i="27"/>
  <c r="I3911" i="27"/>
  <c r="K2890" i="27"/>
  <c r="K2898" i="27" s="1"/>
  <c r="K2883" i="27"/>
  <c r="M3398" i="27"/>
  <c r="K2184" i="27"/>
  <c r="C881" i="55"/>
  <c r="X1444" i="1" l="1"/>
  <c r="V1468" i="1"/>
  <c r="X1468" i="1" s="1"/>
  <c r="F660" i="25"/>
  <c r="D696" i="25"/>
  <c r="F696" i="25" s="1"/>
  <c r="C1497" i="55"/>
  <c r="K106" i="1"/>
  <c r="C27" i="55" s="1"/>
  <c r="C26" i="55"/>
  <c r="I3981" i="1"/>
  <c r="K3981" i="1" s="1"/>
  <c r="K3964" i="1"/>
  <c r="K1091" i="11"/>
  <c r="K1095" i="11" s="1"/>
  <c r="K1096" i="11" s="1"/>
  <c r="K3841" i="27"/>
  <c r="K3856" i="27"/>
  <c r="AD554" i="1"/>
  <c r="K3297" i="27"/>
  <c r="K3299" i="27" s="1"/>
  <c r="K3291" i="27" s="1"/>
  <c r="K3293" i="27" s="1"/>
  <c r="K3294" i="27" s="1"/>
  <c r="K2204" i="27" s="1"/>
  <c r="I3322" i="27"/>
  <c r="K3322" i="27" s="1"/>
  <c r="K3324" i="27" s="1"/>
  <c r="K3318" i="27" s="1"/>
  <c r="K3319" i="27" s="1"/>
  <c r="I3937" i="27"/>
  <c r="K3937" i="27" s="1"/>
  <c r="K3075" i="27"/>
  <c r="I3089" i="27"/>
  <c r="K3089" i="27" s="1"/>
  <c r="H3874" i="1"/>
  <c r="J3853" i="1"/>
  <c r="K3914" i="27"/>
  <c r="I2692" i="27"/>
  <c r="K2692" i="27" s="1"/>
  <c r="K2696" i="27" s="1"/>
  <c r="C74" i="27"/>
  <c r="I194" i="27" s="1"/>
  <c r="K194" i="27" s="1"/>
  <c r="K201" i="27" s="1"/>
  <c r="K203" i="27" s="1"/>
  <c r="I1712" i="27" s="1"/>
  <c r="K1712" i="27" s="1"/>
  <c r="K1721" i="27" s="1"/>
  <c r="I166" i="27"/>
  <c r="K166" i="27" s="1"/>
  <c r="K170" i="27" s="1"/>
  <c r="I2681" i="27"/>
  <c r="K2681" i="27" s="1"/>
  <c r="K2685" i="27" s="1"/>
  <c r="K2687" i="27" s="1"/>
  <c r="I2615" i="27"/>
  <c r="K2615" i="27" s="1"/>
  <c r="K3545" i="1"/>
  <c r="K3549" i="1" s="1"/>
  <c r="K3550" i="1" s="1"/>
  <c r="C815" i="55" s="1"/>
  <c r="AE3545" i="1"/>
  <c r="P3549" i="1"/>
  <c r="R3549" i="1" s="1"/>
  <c r="R3553" i="1" s="1"/>
  <c r="R3554" i="1" s="1"/>
  <c r="V3545" i="1"/>
  <c r="K3227" i="1"/>
  <c r="K3365" i="27"/>
  <c r="K3366" i="27" s="1"/>
  <c r="K3332" i="27"/>
  <c r="K3333" i="27" s="1"/>
  <c r="L3333" i="27" s="1"/>
  <c r="K3931" i="27"/>
  <c r="I3950" i="27"/>
  <c r="K3950" i="27" s="1"/>
  <c r="I2682" i="27"/>
  <c r="K2682" i="27" s="1"/>
  <c r="C73" i="27"/>
  <c r="I174" i="27"/>
  <c r="K174" i="27" s="1"/>
  <c r="K178" i="27" s="1"/>
  <c r="K3441" i="27"/>
  <c r="K2210" i="27" s="1"/>
  <c r="L3277" i="27"/>
  <c r="K2200" i="27"/>
  <c r="AB1425" i="1"/>
  <c r="AD1425" i="1" s="1"/>
  <c r="AD1408" i="1"/>
  <c r="K3443" i="27"/>
  <c r="I3437" i="27" s="1"/>
  <c r="K3437" i="27" s="1"/>
  <c r="I3483" i="27"/>
  <c r="K4028" i="1"/>
  <c r="K4030" i="1" s="1"/>
  <c r="K4031" i="1" s="1"/>
  <c r="I4040" i="1"/>
  <c r="K4040" i="1" s="1"/>
  <c r="K4042" i="1" s="1"/>
  <c r="K4043" i="1" s="1"/>
  <c r="X3563" i="1"/>
  <c r="V3579" i="1"/>
  <c r="K3911" i="27"/>
  <c r="K2620" i="27"/>
  <c r="K3879" i="27"/>
  <c r="K3895" i="27"/>
  <c r="K3898" i="27" s="1"/>
  <c r="K3899" i="27" s="1"/>
  <c r="AG3563" i="1"/>
  <c r="V3626" i="1"/>
  <c r="R1988" i="1"/>
  <c r="F44" i="50"/>
  <c r="D107" i="50"/>
  <c r="F107" i="50" s="1"/>
  <c r="P2865" i="1"/>
  <c r="R2832" i="1"/>
  <c r="V2793" i="1"/>
  <c r="P2651" i="1"/>
  <c r="R2651" i="1" s="1"/>
  <c r="X1461" i="1"/>
  <c r="AB1459" i="1"/>
  <c r="AD1459" i="1" s="1"/>
  <c r="X1244" i="1"/>
  <c r="AB1249" i="1"/>
  <c r="AG389" i="1"/>
  <c r="AE425" i="1"/>
  <c r="AG425" i="1" s="1"/>
  <c r="AQ196" i="1"/>
  <c r="AS196" i="1" s="1"/>
  <c r="AS164" i="1"/>
  <c r="AU164" i="1" s="1"/>
  <c r="AV164" i="1" s="1"/>
  <c r="AB1458" i="1"/>
  <c r="AD1458" i="1" s="1"/>
  <c r="X1460" i="1"/>
  <c r="X380" i="1"/>
  <c r="V411" i="1"/>
  <c r="X411" i="1" s="1"/>
  <c r="I2644" i="1"/>
  <c r="K2825" i="1"/>
  <c r="I1189" i="11"/>
  <c r="K1189" i="11" s="1"/>
  <c r="K1174" i="11"/>
  <c r="F658" i="25"/>
  <c r="D694" i="25"/>
  <c r="F694" i="25" s="1"/>
  <c r="R1496" i="1"/>
  <c r="V1457" i="1"/>
  <c r="I2960" i="27"/>
  <c r="K2940" i="27"/>
  <c r="K2944" i="27" s="1"/>
  <c r="I3058" i="27"/>
  <c r="R1497" i="1"/>
  <c r="V1458" i="1"/>
  <c r="AC1206" i="1"/>
  <c r="AJ1205" i="1"/>
  <c r="W565" i="1"/>
  <c r="AC565" i="1" s="1"/>
  <c r="AJ565" i="1" s="1"/>
  <c r="J564" i="1"/>
  <c r="M3024" i="27"/>
  <c r="K3023" i="27"/>
  <c r="N3023" i="27"/>
  <c r="J542" i="1"/>
  <c r="W541" i="1"/>
  <c r="AC541" i="1" s="1"/>
  <c r="AJ541" i="1" s="1"/>
  <c r="L3045" i="27"/>
  <c r="K3044" i="27"/>
  <c r="W490" i="1"/>
  <c r="AC490" i="1" s="1"/>
  <c r="J666" i="1"/>
  <c r="AS112" i="1"/>
  <c r="AU112" i="1" s="1"/>
  <c r="AV112" i="1" s="1"/>
  <c r="AQ137" i="1"/>
  <c r="S2897" i="27"/>
  <c r="R2896" i="27"/>
  <c r="K3099" i="27"/>
  <c r="P3072" i="27"/>
  <c r="R3072" i="27" s="1"/>
  <c r="V3606" i="1"/>
  <c r="X3606" i="1" s="1"/>
  <c r="X3589" i="1"/>
  <c r="AD1398" i="1"/>
  <c r="C317" i="55" s="1"/>
  <c r="F125" i="25"/>
  <c r="D115" i="25" s="1"/>
  <c r="F115" i="25" s="1"/>
  <c r="K617" i="11"/>
  <c r="K618" i="11" s="1"/>
  <c r="K608" i="11" s="1"/>
  <c r="L2926" i="27"/>
  <c r="K2921" i="27"/>
  <c r="R2863" i="27"/>
  <c r="T2864" i="27"/>
  <c r="D87" i="25"/>
  <c r="F86" i="25"/>
  <c r="F621" i="25"/>
  <c r="D657" i="25"/>
  <c r="C687" i="55"/>
  <c r="K2262" i="1"/>
  <c r="X3622" i="1"/>
  <c r="AB3622" i="1"/>
  <c r="AD3622" i="1" s="1"/>
  <c r="D590" i="25"/>
  <c r="F553" i="25"/>
  <c r="J3854" i="1"/>
  <c r="J3858" i="1" s="1"/>
  <c r="J3860" i="1" s="1"/>
  <c r="H3875" i="1"/>
  <c r="W805" i="11"/>
  <c r="R805" i="11"/>
  <c r="R807" i="11" s="1"/>
  <c r="K52" i="11"/>
  <c r="K59" i="11"/>
  <c r="K67" i="11" s="1"/>
  <c r="X707" i="1"/>
  <c r="Z707" i="1" s="1"/>
  <c r="V677" i="1"/>
  <c r="X677" i="1" s="1"/>
  <c r="F147" i="25"/>
  <c r="D169" i="25"/>
  <c r="F169" i="25" s="1"/>
  <c r="V1446" i="1"/>
  <c r="R1485" i="1"/>
  <c r="AD1412" i="1"/>
  <c r="AB1429" i="1"/>
  <c r="AD1429" i="1" s="1"/>
  <c r="X1462" i="1"/>
  <c r="AB1460" i="1"/>
  <c r="AD1460" i="1" s="1"/>
  <c r="AB1437" i="1"/>
  <c r="AD1437" i="1" s="1"/>
  <c r="X1439" i="1"/>
  <c r="V3248" i="1"/>
  <c r="X3248" i="1" s="1"/>
  <c r="P3361" i="1"/>
  <c r="R3361" i="1" s="1"/>
  <c r="R3292" i="1"/>
  <c r="P3395" i="1"/>
  <c r="R3395" i="1" s="1"/>
  <c r="AE2788" i="1"/>
  <c r="AG2788" i="1" s="1"/>
  <c r="P2822" i="1"/>
  <c r="I2865" i="1"/>
  <c r="K2865" i="1" s="1"/>
  <c r="K2876" i="1" s="1"/>
  <c r="K2878" i="1" s="1"/>
  <c r="K2815" i="1"/>
  <c r="I3601" i="1"/>
  <c r="P2642" i="1"/>
  <c r="K2635" i="1"/>
  <c r="V2603" i="1"/>
  <c r="I3422" i="1"/>
  <c r="P2075" i="1"/>
  <c r="R2075" i="1" s="1"/>
  <c r="K3101" i="1"/>
  <c r="X2602" i="1"/>
  <c r="AE2616" i="1"/>
  <c r="AG2616" i="1" s="1"/>
  <c r="Z2600" i="1"/>
  <c r="AE2650" i="1"/>
  <c r="AG2650" i="1" s="1"/>
  <c r="K3283" i="1"/>
  <c r="V3251" i="1"/>
  <c r="X3251" i="1" s="1"/>
  <c r="K951" i="1"/>
  <c r="K3320" i="1"/>
  <c r="K3330" i="1" s="1"/>
  <c r="K3332" i="1" s="1"/>
  <c r="K3148" i="1"/>
  <c r="K3158" i="1" s="1"/>
  <c r="K3160" i="1" s="1"/>
  <c r="P3155" i="1"/>
  <c r="C691" i="55"/>
  <c r="K2266" i="1"/>
  <c r="C420" i="55" s="1"/>
  <c r="P2823" i="1"/>
  <c r="K2816" i="1"/>
  <c r="I3480" i="1"/>
  <c r="K3480" i="1" s="1"/>
  <c r="P1065" i="1"/>
  <c r="K1054" i="1"/>
  <c r="P1090" i="1"/>
  <c r="AE1063" i="1"/>
  <c r="AG1063" i="1" s="1"/>
  <c r="P988" i="1"/>
  <c r="R988" i="1" s="1"/>
  <c r="K2664" i="1"/>
  <c r="K2675" i="1" s="1"/>
  <c r="K2677" i="1" s="1"/>
  <c r="P2671" i="1"/>
  <c r="I3102" i="1"/>
  <c r="I3389" i="1"/>
  <c r="I3479" i="1" s="1"/>
  <c r="K3479" i="1" s="1"/>
  <c r="I987" i="1"/>
  <c r="K987" i="1" s="1"/>
  <c r="I1072" i="1"/>
  <c r="K1072" i="1" s="1"/>
  <c r="K1080" i="1" s="1"/>
  <c r="K1082" i="1" s="1"/>
  <c r="I1055" i="1"/>
  <c r="I1017" i="1"/>
  <c r="K1017" i="1" s="1"/>
  <c r="I1103" i="1"/>
  <c r="I1087" i="1"/>
  <c r="K1087" i="1" s="1"/>
  <c r="K1096" i="1" s="1"/>
  <c r="K1098" i="1" s="1"/>
  <c r="P212" i="1"/>
  <c r="R212" i="1" s="1"/>
  <c r="R222" i="1" s="1"/>
  <c r="R225" i="1" s="1"/>
  <c r="I1129" i="1"/>
  <c r="K1129" i="1" s="1"/>
  <c r="K1140" i="1" s="1"/>
  <c r="K1142" i="1" s="1"/>
  <c r="I929" i="1"/>
  <c r="K929" i="1" s="1"/>
  <c r="K931" i="1" s="1"/>
  <c r="C291" i="55" s="1"/>
  <c r="I952" i="1"/>
  <c r="R2821" i="1"/>
  <c r="P2854" i="1"/>
  <c r="R2854" i="1" s="1"/>
  <c r="R2641" i="1"/>
  <c r="R3222" i="1"/>
  <c r="P3436" i="1"/>
  <c r="R3436" i="1" s="1"/>
  <c r="P3324" i="1"/>
  <c r="R3324" i="1" s="1"/>
  <c r="I1018" i="1"/>
  <c r="I953" i="1"/>
  <c r="K953" i="1" s="1"/>
  <c r="I988" i="1"/>
  <c r="K988" i="1" s="1"/>
  <c r="P3293" i="1"/>
  <c r="P3223" i="1"/>
  <c r="P3259" i="1"/>
  <c r="R3259" i="1" s="1"/>
  <c r="R3271" i="1" s="1"/>
  <c r="R3273" i="1" s="1"/>
  <c r="C1437" i="55" s="1"/>
  <c r="R3190" i="1"/>
  <c r="R3202" i="1" s="1"/>
  <c r="R3204" i="1" s="1"/>
  <c r="C629" i="55" s="1"/>
  <c r="AB1219" i="1"/>
  <c r="AD1219" i="1" s="1"/>
  <c r="AD1247" i="1"/>
  <c r="V3619" i="1"/>
  <c r="X3604" i="1"/>
  <c r="AD1246" i="1"/>
  <c r="AB1218" i="1"/>
  <c r="AD1218" i="1" s="1"/>
  <c r="L3209" i="1"/>
  <c r="L3212" i="1" s="1"/>
  <c r="K3246" i="1"/>
  <c r="K3248" i="1" s="1"/>
  <c r="C1510" i="55" s="1"/>
  <c r="K3215" i="1"/>
  <c r="K3217" i="1" s="1"/>
  <c r="L3178" i="1"/>
  <c r="L3181" i="1" s="1"/>
  <c r="L3183" i="1" s="1"/>
  <c r="AB1225" i="1"/>
  <c r="AD1225" i="1" s="1"/>
  <c r="AD1253" i="1"/>
  <c r="X1246" i="1"/>
  <c r="AB1251" i="1"/>
  <c r="K3274" i="1"/>
  <c r="K3276" i="1" s="1"/>
  <c r="C1513" i="55" s="1"/>
  <c r="L3234" i="1"/>
  <c r="L3240" i="1" s="1"/>
  <c r="L3242" i="1" s="1"/>
  <c r="L3193" i="1"/>
  <c r="L3196" i="1" s="1"/>
  <c r="L3198" i="1" s="1"/>
  <c r="K3230" i="1"/>
  <c r="K3232" i="1" s="1"/>
  <c r="C1512" i="55" s="1"/>
  <c r="F149" i="25"/>
  <c r="F152" i="25" s="1"/>
  <c r="D141" i="25" s="1"/>
  <c r="D171" i="25"/>
  <c r="F171" i="25" s="1"/>
  <c r="AB1252" i="1"/>
  <c r="X1247" i="1"/>
  <c r="AS138" i="1"/>
  <c r="AU138" i="1" s="1"/>
  <c r="AV138" i="1" s="1"/>
  <c r="AQ169" i="1"/>
  <c r="AS169" i="1" s="1"/>
  <c r="AU169" i="1" s="1"/>
  <c r="AV169" i="1" s="1"/>
  <c r="R2101" i="1"/>
  <c r="P2108" i="1"/>
  <c r="K3505" i="1"/>
  <c r="P22" i="1"/>
  <c r="I153" i="1"/>
  <c r="K153" i="1" s="1"/>
  <c r="K162" i="1" s="1"/>
  <c r="C39" i="55" s="1"/>
  <c r="P628" i="1"/>
  <c r="R628" i="1" s="1"/>
  <c r="I141" i="1"/>
  <c r="K36" i="1"/>
  <c r="K40" i="1" s="1"/>
  <c r="I45" i="1"/>
  <c r="I19" i="1"/>
  <c r="I2149" i="1"/>
  <c r="I273" i="1"/>
  <c r="K273" i="1" s="1"/>
  <c r="I55" i="1"/>
  <c r="I1754" i="1"/>
  <c r="K1754" i="1" s="1"/>
  <c r="K1761" i="1" s="1"/>
  <c r="K1763" i="1" s="1"/>
  <c r="C370" i="55" s="1"/>
  <c r="I506" i="1"/>
  <c r="I74" i="1"/>
  <c r="I2129" i="1"/>
  <c r="K2129" i="1" s="1"/>
  <c r="K2137" i="1" s="1"/>
  <c r="K2139" i="1" s="1"/>
  <c r="C403" i="55" s="1"/>
  <c r="I810" i="1"/>
  <c r="P10" i="1"/>
  <c r="R10" i="1" s="1"/>
  <c r="R14" i="1" s="1"/>
  <c r="I10" i="1"/>
  <c r="P1144" i="1"/>
  <c r="I28" i="1"/>
  <c r="I65" i="1"/>
  <c r="F42" i="32"/>
  <c r="H42" i="32" s="1"/>
  <c r="D105" i="32"/>
  <c r="F105" i="32" s="1"/>
  <c r="V801" i="1"/>
  <c r="C74" i="1"/>
  <c r="V706" i="1"/>
  <c r="I176" i="1"/>
  <c r="K176" i="1" s="1"/>
  <c r="K180" i="1" s="1"/>
  <c r="C44" i="55" s="1"/>
  <c r="V763" i="1"/>
  <c r="X763" i="1" s="1"/>
  <c r="AC15" i="1"/>
  <c r="I3503" i="1"/>
  <c r="I3501" i="1"/>
  <c r="X3163" i="1"/>
  <c r="D551" i="25"/>
  <c r="I3956" i="1"/>
  <c r="K3940" i="1"/>
  <c r="P1537" i="1"/>
  <c r="R1537" i="1" s="1"/>
  <c r="R1544" i="1" s="1"/>
  <c r="R1546" i="1" s="1"/>
  <c r="V1455" i="1"/>
  <c r="R1494" i="1"/>
  <c r="F546" i="64"/>
  <c r="F549" i="64" s="1"/>
  <c r="AB1404" i="1"/>
  <c r="X1406" i="1"/>
  <c r="X1416" i="1" s="1"/>
  <c r="V1321" i="1"/>
  <c r="X1321" i="1" s="1"/>
  <c r="X1301" i="1"/>
  <c r="AD1405" i="1"/>
  <c r="AB1422" i="1"/>
  <c r="AD1422" i="1" s="1"/>
  <c r="I2468" i="27"/>
  <c r="K2468" i="27" s="1"/>
  <c r="I2311" i="27"/>
  <c r="K2311" i="27" s="1"/>
  <c r="I711" i="1"/>
  <c r="K711" i="1" s="1"/>
  <c r="C280" i="55" s="1"/>
  <c r="C279" i="55"/>
  <c r="C375" i="55"/>
  <c r="C893" i="55"/>
  <c r="K2411" i="1"/>
  <c r="K2416" i="1" s="1"/>
  <c r="C386" i="55" s="1"/>
  <c r="I2444" i="1"/>
  <c r="K2444" i="1" s="1"/>
  <c r="X3575" i="1"/>
  <c r="V3590" i="1"/>
  <c r="R1893" i="1"/>
  <c r="R1900" i="1" s="1"/>
  <c r="R1902" i="1" s="1"/>
  <c r="P1911" i="1" s="1"/>
  <c r="R1911" i="1" s="1"/>
  <c r="R1913" i="1" s="1"/>
  <c r="C715" i="55" s="1"/>
  <c r="AS66" i="1"/>
  <c r="AQ90" i="1"/>
  <c r="K566" i="11"/>
  <c r="I3396" i="27"/>
  <c r="R1477" i="1"/>
  <c r="R1479" i="1" s="1"/>
  <c r="R1480" i="1" s="1"/>
  <c r="V1438" i="1"/>
  <c r="P1484" i="1"/>
  <c r="K3945" i="1"/>
  <c r="I3961" i="1"/>
  <c r="K134" i="11"/>
  <c r="L134" i="11"/>
  <c r="V861" i="1"/>
  <c r="X861" i="1" s="1"/>
  <c r="P854" i="1"/>
  <c r="R854" i="1" s="1"/>
  <c r="K861" i="1"/>
  <c r="I3301" i="1"/>
  <c r="K3301" i="1" s="1"/>
  <c r="R1260" i="1"/>
  <c r="P1237" i="1"/>
  <c r="R1237" i="1" s="1"/>
  <c r="V1240" i="1"/>
  <c r="I1114" i="11"/>
  <c r="K1114" i="11" s="1"/>
  <c r="K1117" i="11" s="1"/>
  <c r="K1119" i="11" s="1"/>
  <c r="F427" i="81" s="1"/>
  <c r="I269" i="11"/>
  <c r="K590" i="11"/>
  <c r="I585" i="11" s="1"/>
  <c r="I612" i="11"/>
  <c r="K3596" i="1"/>
  <c r="C661" i="55"/>
  <c r="K615" i="1"/>
  <c r="I615" i="1"/>
  <c r="C259" i="55"/>
  <c r="AD1191" i="1"/>
  <c r="AI1191" i="1"/>
  <c r="AK1191" i="1" s="1"/>
  <c r="AG391" i="1"/>
  <c r="AE427" i="1"/>
  <c r="AQ391" i="1"/>
  <c r="AS391" i="1" s="1"/>
  <c r="AE405" i="1"/>
  <c r="AG405" i="1" s="1"/>
  <c r="X593" i="1"/>
  <c r="C656" i="55"/>
  <c r="C655" i="55"/>
  <c r="X879" i="1"/>
  <c r="V895" i="1"/>
  <c r="X895" i="1" s="1"/>
  <c r="I593" i="1"/>
  <c r="K593" i="1" s="1"/>
  <c r="C649" i="55"/>
  <c r="C253" i="55"/>
  <c r="K232" i="11"/>
  <c r="C1463" i="55" s="1"/>
  <c r="L232" i="11"/>
  <c r="AG314" i="1"/>
  <c r="I2396" i="27"/>
  <c r="I2395" i="27"/>
  <c r="I2378" i="27"/>
  <c r="K2378" i="27" s="1"/>
  <c r="I2354" i="27" s="1"/>
  <c r="K2354" i="27" s="1"/>
  <c r="K2356" i="27" s="1"/>
  <c r="K2357" i="27" s="1"/>
  <c r="I586" i="27"/>
  <c r="K586" i="27"/>
  <c r="I2958" i="1"/>
  <c r="K2958" i="1" s="1"/>
  <c r="K2949" i="1"/>
  <c r="AI554" i="1"/>
  <c r="AK530" i="1"/>
  <c r="K2453" i="27"/>
  <c r="K2455" i="27"/>
  <c r="F609" i="64"/>
  <c r="F612" i="64" s="1"/>
  <c r="V1423" i="1"/>
  <c r="X1423" i="1" s="1"/>
  <c r="X1433" i="1" s="1"/>
  <c r="R1462" i="1"/>
  <c r="R1472" i="1" s="1"/>
  <c r="P1493" i="1"/>
  <c r="N3398" i="27"/>
  <c r="L2900" i="27"/>
  <c r="K2899" i="27"/>
  <c r="L2885" i="27"/>
  <c r="K2884" i="27"/>
  <c r="M3744" i="27"/>
  <c r="K2203" i="27"/>
  <c r="K2826" i="1" l="1"/>
  <c r="K2828" i="1" s="1"/>
  <c r="C619" i="55" s="1"/>
  <c r="F438" i="81"/>
  <c r="F442" i="81" s="1"/>
  <c r="F443" i="81" s="1"/>
  <c r="F431" i="81"/>
  <c r="F432" i="81" s="1"/>
  <c r="C1511" i="55"/>
  <c r="F48" i="79"/>
  <c r="C416" i="55"/>
  <c r="D23" i="79"/>
  <c r="F23" i="79" s="1"/>
  <c r="AK554" i="1"/>
  <c r="L1097" i="11"/>
  <c r="M1096" i="11"/>
  <c r="R1065" i="1"/>
  <c r="AG3545" i="1"/>
  <c r="AG3549" i="1" s="1"/>
  <c r="AG3550" i="1" s="1"/>
  <c r="C817" i="55" s="1"/>
  <c r="AE3561" i="1"/>
  <c r="K3857" i="27"/>
  <c r="X3545" i="1"/>
  <c r="X3549" i="1" s="1"/>
  <c r="X3550" i="1" s="1"/>
  <c r="C816" i="55" s="1"/>
  <c r="V3561" i="1"/>
  <c r="V3525" i="1"/>
  <c r="X3525" i="1" s="1"/>
  <c r="X3529" i="1" s="1"/>
  <c r="X3530" i="1" s="1"/>
  <c r="H3890" i="1"/>
  <c r="J3890" i="1" s="1"/>
  <c r="J3874" i="1"/>
  <c r="L3319" i="27"/>
  <c r="K2209" i="27"/>
  <c r="K585" i="11"/>
  <c r="AB3626" i="1"/>
  <c r="AD3626" i="1" s="1"/>
  <c r="X3627" i="1"/>
  <c r="X3626" i="1"/>
  <c r="V3594" i="1"/>
  <c r="X3579" i="1"/>
  <c r="K3483" i="27"/>
  <c r="I3477" i="27" s="1"/>
  <c r="K3477" i="27" s="1"/>
  <c r="I3628" i="27"/>
  <c r="I1636" i="27"/>
  <c r="K1636" i="27" s="1"/>
  <c r="K1642" i="27" s="1"/>
  <c r="K1644" i="27" s="1"/>
  <c r="P65" i="27"/>
  <c r="R65" i="27" s="1"/>
  <c r="R72" i="27" s="1"/>
  <c r="R74" i="27" s="1"/>
  <c r="P631" i="27" s="1"/>
  <c r="R631" i="27" s="1"/>
  <c r="R642" i="27" s="1"/>
  <c r="P604" i="27"/>
  <c r="R604" i="27" s="1"/>
  <c r="I771" i="27"/>
  <c r="K771" i="27" s="1"/>
  <c r="K779" i="27" s="1"/>
  <c r="K781" i="27" s="1"/>
  <c r="I209" i="27"/>
  <c r="K209" i="27" s="1"/>
  <c r="K216" i="27" s="1"/>
  <c r="K218" i="27" s="1"/>
  <c r="I269" i="27"/>
  <c r="K269" i="27" s="1"/>
  <c r="K277" i="27" s="1"/>
  <c r="K279" i="27" s="1"/>
  <c r="K74" i="1"/>
  <c r="K78" i="1" s="1"/>
  <c r="I227" i="1" s="1"/>
  <c r="K65" i="1"/>
  <c r="K69" i="1" s="1"/>
  <c r="V731" i="1"/>
  <c r="X731" i="1" s="1"/>
  <c r="K3495" i="1"/>
  <c r="AD1249" i="1"/>
  <c r="AB1221" i="1"/>
  <c r="AD1221" i="1" s="1"/>
  <c r="AE2797" i="1"/>
  <c r="AG2797" i="1" s="1"/>
  <c r="AG2798" i="1" s="1"/>
  <c r="AG2800" i="1" s="1"/>
  <c r="X2793" i="1"/>
  <c r="X2794" i="1" s="1"/>
  <c r="X2796" i="1" s="1"/>
  <c r="AU196" i="1"/>
  <c r="AV196" i="1" s="1"/>
  <c r="AS200" i="1"/>
  <c r="P3164" i="1"/>
  <c r="R3164" i="1" s="1"/>
  <c r="R2865" i="1"/>
  <c r="K2644" i="1"/>
  <c r="K2646" i="1" s="1"/>
  <c r="K2648" i="1" s="1"/>
  <c r="C630" i="55" s="1"/>
  <c r="V2613" i="1"/>
  <c r="D42" i="50"/>
  <c r="F42" i="50" s="1"/>
  <c r="J543" i="1"/>
  <c r="W542" i="1"/>
  <c r="AC542" i="1" s="1"/>
  <c r="AJ542" i="1" s="1"/>
  <c r="J565" i="1"/>
  <c r="J566" i="1" s="1"/>
  <c r="J567" i="1" s="1"/>
  <c r="J568" i="1" s="1"/>
  <c r="J569" i="1" s="1"/>
  <c r="J570" i="1" s="1"/>
  <c r="J571" i="1" s="1"/>
  <c r="J572" i="1" s="1"/>
  <c r="W566" i="1"/>
  <c r="AC566" i="1" s="1"/>
  <c r="AJ566" i="1" s="1"/>
  <c r="AB1456" i="1"/>
  <c r="AD1456" i="1" s="1"/>
  <c r="X1458" i="1"/>
  <c r="I3913" i="27"/>
  <c r="K2960" i="27"/>
  <c r="K2964" i="27" s="1"/>
  <c r="K2945" i="27"/>
  <c r="L2946" i="27"/>
  <c r="F174" i="25"/>
  <c r="F176" i="25" s="1"/>
  <c r="F87" i="25"/>
  <c r="F96" i="25" s="1"/>
  <c r="F97" i="25" s="1"/>
  <c r="D109" i="25"/>
  <c r="AQ168" i="1"/>
  <c r="AS168" i="1" s="1"/>
  <c r="AU168" i="1" s="1"/>
  <c r="AV168" i="1" s="1"/>
  <c r="AS137" i="1"/>
  <c r="AU137" i="1" s="1"/>
  <c r="AV137" i="1" s="1"/>
  <c r="AB1455" i="1"/>
  <c r="AD1455" i="1" s="1"/>
  <c r="X1457" i="1"/>
  <c r="AJ1206" i="1"/>
  <c r="AC1207" i="1"/>
  <c r="K999" i="1"/>
  <c r="K1001" i="1" s="1"/>
  <c r="C624" i="55" s="1"/>
  <c r="F657" i="25"/>
  <c r="D693" i="25"/>
  <c r="F693" i="25" s="1"/>
  <c r="C884" i="55"/>
  <c r="K2187" i="27"/>
  <c r="J667" i="1"/>
  <c r="J668" i="1" s="1"/>
  <c r="J669" i="1" s="1"/>
  <c r="J670" i="1" s="1"/>
  <c r="J671" i="1" s="1"/>
  <c r="W491" i="1"/>
  <c r="AC491" i="1" s="1"/>
  <c r="AC492" i="1" s="1"/>
  <c r="AC493" i="1" s="1"/>
  <c r="AC494" i="1" s="1"/>
  <c r="AC495" i="1" s="1"/>
  <c r="AC496" i="1" s="1"/>
  <c r="AC497" i="1" s="1"/>
  <c r="AC498" i="1" s="1"/>
  <c r="I3074" i="27"/>
  <c r="K3058" i="27"/>
  <c r="K3062" i="27" s="1"/>
  <c r="S807" i="11"/>
  <c r="C853" i="55"/>
  <c r="F590" i="25"/>
  <c r="D625" i="25"/>
  <c r="Y805" i="11"/>
  <c r="Y807" i="11" s="1"/>
  <c r="F25" i="79" s="1"/>
  <c r="W815" i="11"/>
  <c r="Y815" i="11" s="1"/>
  <c r="Y817" i="11" s="1"/>
  <c r="H3891" i="1"/>
  <c r="J3891" i="1" s="1"/>
  <c r="J3895" i="1" s="1"/>
  <c r="J3897" i="1" s="1"/>
  <c r="J3875" i="1"/>
  <c r="L68" i="11"/>
  <c r="K68" i="11"/>
  <c r="L53" i="11"/>
  <c r="K53" i="11"/>
  <c r="X1446" i="1"/>
  <c r="V1470" i="1"/>
  <c r="X1470" i="1" s="1"/>
  <c r="C693" i="55"/>
  <c r="K2268" i="1"/>
  <c r="C422" i="55" s="1"/>
  <c r="C612" i="55"/>
  <c r="C1455" i="55"/>
  <c r="K3422" i="1"/>
  <c r="K3433" i="1" s="1"/>
  <c r="K3435" i="1" s="1"/>
  <c r="R2822" i="1"/>
  <c r="P2855" i="1"/>
  <c r="R2855" i="1" s="1"/>
  <c r="P3325" i="1"/>
  <c r="R3325" i="1" s="1"/>
  <c r="R3223" i="1"/>
  <c r="R3237" i="1" s="1"/>
  <c r="R3239" i="1" s="1"/>
  <c r="P3437" i="1"/>
  <c r="R3437" i="1" s="1"/>
  <c r="R3451" i="1" s="1"/>
  <c r="R3453" i="1" s="1"/>
  <c r="C1440" i="55" s="1"/>
  <c r="P2076" i="1"/>
  <c r="R2076" i="1" s="1"/>
  <c r="R2086" i="1" s="1"/>
  <c r="R2088" i="1" s="1"/>
  <c r="K3102" i="1"/>
  <c r="K3113" i="1" s="1"/>
  <c r="K3115" i="1" s="1"/>
  <c r="C613" i="55" s="1"/>
  <c r="I3281" i="1"/>
  <c r="K1103" i="1"/>
  <c r="K1111" i="1" s="1"/>
  <c r="K1113" i="1" s="1"/>
  <c r="R2642" i="1"/>
  <c r="R2653" i="1" s="1"/>
  <c r="R2655" i="1" s="1"/>
  <c r="K1018" i="1"/>
  <c r="K1029" i="1" s="1"/>
  <c r="K1031" i="1" s="1"/>
  <c r="C296" i="55" s="1"/>
  <c r="P1092" i="1"/>
  <c r="K1055" i="1"/>
  <c r="K1065" i="1" s="1"/>
  <c r="K1067" i="1" s="1"/>
  <c r="C305" i="55" s="1"/>
  <c r="P989" i="1"/>
  <c r="R989" i="1" s="1"/>
  <c r="R999" i="1" s="1"/>
  <c r="R1001" i="1" s="1"/>
  <c r="C637" i="55" s="1"/>
  <c r="P1066" i="1"/>
  <c r="P1091" i="1"/>
  <c r="AE1064" i="1"/>
  <c r="AG1064" i="1" s="1"/>
  <c r="AG1074" i="1" s="1"/>
  <c r="AG1076" i="1" s="1"/>
  <c r="Z2601" i="1"/>
  <c r="Z2611" i="1" s="1"/>
  <c r="Z2612" i="1" s="1"/>
  <c r="AE2617" i="1"/>
  <c r="AG2617" i="1" s="1"/>
  <c r="AG2628" i="1" s="1"/>
  <c r="AG2630" i="1" s="1"/>
  <c r="C627" i="55" s="1"/>
  <c r="AE2651" i="1"/>
  <c r="AG2651" i="1" s="1"/>
  <c r="X2603" i="1"/>
  <c r="K3601" i="1"/>
  <c r="K3611" i="1" s="1"/>
  <c r="K3613" i="1" s="1"/>
  <c r="I3624" i="1"/>
  <c r="K3624" i="1" s="1"/>
  <c r="K3632" i="1" s="1"/>
  <c r="K3634" i="1" s="1"/>
  <c r="P3396" i="1"/>
  <c r="R3396" i="1" s="1"/>
  <c r="R3293" i="1"/>
  <c r="R3304" i="1" s="1"/>
  <c r="R3306" i="1" s="1"/>
  <c r="P3362" i="1"/>
  <c r="R3362" i="1" s="1"/>
  <c r="R3373" i="1" s="1"/>
  <c r="R3375" i="1" s="1"/>
  <c r="C1442" i="55" s="1"/>
  <c r="K952" i="1"/>
  <c r="K963" i="1" s="1"/>
  <c r="K965" i="1" s="1"/>
  <c r="D546" i="25"/>
  <c r="C301" i="55"/>
  <c r="C609" i="55"/>
  <c r="C607" i="55"/>
  <c r="C299" i="55"/>
  <c r="R1090" i="1"/>
  <c r="P1112" i="1"/>
  <c r="R2823" i="1"/>
  <c r="P2856" i="1"/>
  <c r="R2856" i="1" s="1"/>
  <c r="R3155" i="1"/>
  <c r="R3165" i="1" s="1"/>
  <c r="R3167" i="1" s="1"/>
  <c r="V3115" i="1"/>
  <c r="R3338" i="1"/>
  <c r="R3340" i="1" s="1"/>
  <c r="C1439" i="55" s="1"/>
  <c r="R3407" i="1"/>
  <c r="R3409" i="1" s="1"/>
  <c r="D307" i="25"/>
  <c r="F307" i="25" s="1"/>
  <c r="D164" i="25"/>
  <c r="F164" i="25" s="1"/>
  <c r="F141" i="25"/>
  <c r="AD1252" i="1"/>
  <c r="AB1224" i="1"/>
  <c r="AD1224" i="1" s="1"/>
  <c r="AD1251" i="1"/>
  <c r="AB1223" i="1"/>
  <c r="AD1223" i="1" s="1"/>
  <c r="AB3619" i="1"/>
  <c r="AD3619" i="1" s="1"/>
  <c r="X3619" i="1"/>
  <c r="P2115" i="1"/>
  <c r="R2115" i="1" s="1"/>
  <c r="R2117" i="1" s="1"/>
  <c r="R2108" i="1"/>
  <c r="P1175" i="1"/>
  <c r="R1175" i="1" s="1"/>
  <c r="R1144" i="1"/>
  <c r="K55" i="1"/>
  <c r="K59" i="1" s="1"/>
  <c r="K45" i="1"/>
  <c r="K49" i="1" s="1"/>
  <c r="K28" i="1"/>
  <c r="K32" i="1" s="1"/>
  <c r="K810" i="1"/>
  <c r="V645" i="1"/>
  <c r="V803" i="1"/>
  <c r="I2900" i="1"/>
  <c r="K2900" i="1" s="1"/>
  <c r="K2906" i="1" s="1"/>
  <c r="K2908" i="1" s="1"/>
  <c r="K2912" i="1" s="1"/>
  <c r="K506" i="1"/>
  <c r="K512" i="1" s="1"/>
  <c r="K514" i="1" s="1"/>
  <c r="P2156" i="1"/>
  <c r="R2156" i="1" s="1"/>
  <c r="R2164" i="1" s="1"/>
  <c r="R2166" i="1" s="1"/>
  <c r="K2149" i="1"/>
  <c r="K2157" i="1" s="1"/>
  <c r="K2159" i="1" s="1"/>
  <c r="C404" i="55" s="1"/>
  <c r="K19" i="1"/>
  <c r="K23" i="1" s="1"/>
  <c r="P2349" i="1"/>
  <c r="R2349" i="1" s="1"/>
  <c r="K141" i="1"/>
  <c r="K145" i="1" s="1"/>
  <c r="C38" i="55" s="1"/>
  <c r="R22" i="1"/>
  <c r="R28" i="1" s="1"/>
  <c r="R30" i="1" s="1"/>
  <c r="W591" i="1"/>
  <c r="K10" i="1"/>
  <c r="AQ109" i="1"/>
  <c r="AS109" i="1" s="1"/>
  <c r="AU109" i="1" s="1"/>
  <c r="AV109" i="1" s="1"/>
  <c r="P165" i="1"/>
  <c r="R165" i="1" s="1"/>
  <c r="P233" i="1"/>
  <c r="R233" i="1" s="1"/>
  <c r="I1406" i="1"/>
  <c r="I412" i="1"/>
  <c r="K412" i="1" s="1"/>
  <c r="K419" i="1" s="1"/>
  <c r="K421" i="1" s="1"/>
  <c r="I488" i="1"/>
  <c r="K488" i="1" s="1"/>
  <c r="K496" i="1" s="1"/>
  <c r="K498" i="1" s="1"/>
  <c r="C63" i="55" s="1"/>
  <c r="I357" i="1"/>
  <c r="I1201" i="1"/>
  <c r="AQ134" i="1"/>
  <c r="I446" i="1"/>
  <c r="K446" i="1" s="1"/>
  <c r="K453" i="1" s="1"/>
  <c r="K455" i="1" s="1"/>
  <c r="I460" i="1" s="1"/>
  <c r="K460" i="1" s="1"/>
  <c r="K464" i="1" s="1"/>
  <c r="K466" i="1" s="1"/>
  <c r="K468" i="1" s="1"/>
  <c r="I381" i="1"/>
  <c r="P363" i="1"/>
  <c r="R363" i="1" s="1"/>
  <c r="R371" i="1" s="1"/>
  <c r="R373" i="1" s="1"/>
  <c r="D41" i="32"/>
  <c r="V676" i="1"/>
  <c r="X706" i="1"/>
  <c r="P2347" i="1"/>
  <c r="C75" i="1"/>
  <c r="P232" i="1"/>
  <c r="R232" i="1" s="1"/>
  <c r="I168" i="1"/>
  <c r="K168" i="1" s="1"/>
  <c r="K172" i="1" s="1"/>
  <c r="C43" i="55" s="1"/>
  <c r="K3503" i="1"/>
  <c r="V816" i="1"/>
  <c r="X816" i="1" s="1"/>
  <c r="X801" i="1"/>
  <c r="K3501" i="1"/>
  <c r="P66" i="1"/>
  <c r="R66" i="1" s="1"/>
  <c r="I1706" i="1"/>
  <c r="K1706" i="1" s="1"/>
  <c r="I211" i="1"/>
  <c r="K211" i="1" s="1"/>
  <c r="P196" i="1"/>
  <c r="R196" i="1" s="1"/>
  <c r="I808" i="1"/>
  <c r="K808" i="1" s="1"/>
  <c r="P627" i="1"/>
  <c r="R627" i="1" s="1"/>
  <c r="P1142" i="1"/>
  <c r="I271" i="1"/>
  <c r="K271" i="1" s="1"/>
  <c r="K279" i="1" s="1"/>
  <c r="K281" i="1" s="1"/>
  <c r="I587" i="27"/>
  <c r="K587" i="27"/>
  <c r="I594" i="1"/>
  <c r="K594" i="1" s="1"/>
  <c r="C650" i="55"/>
  <c r="C254" i="55"/>
  <c r="I652" i="11"/>
  <c r="K612" i="11"/>
  <c r="I606" i="11" s="1"/>
  <c r="K269" i="11"/>
  <c r="K273" i="11" s="1"/>
  <c r="I283" i="11"/>
  <c r="I984" i="11"/>
  <c r="P242" i="11"/>
  <c r="AB1245" i="1"/>
  <c r="X1240" i="1"/>
  <c r="AB1436" i="1"/>
  <c r="AD1436" i="1" s="1"/>
  <c r="AD1438" i="1" s="1"/>
  <c r="AD1439" i="1" s="1"/>
  <c r="X1438" i="1"/>
  <c r="X1440" i="1" s="1"/>
  <c r="X1441" i="1" s="1"/>
  <c r="AS90" i="1"/>
  <c r="AQ110" i="1"/>
  <c r="AB1421" i="1"/>
  <c r="AD1421" i="1" s="1"/>
  <c r="AD1431" i="1" s="1"/>
  <c r="AD1404" i="1"/>
  <c r="AD1414" i="1" s="1"/>
  <c r="AB1453" i="1"/>
  <c r="AD1453" i="1" s="1"/>
  <c r="X1455" i="1"/>
  <c r="D588" i="25"/>
  <c r="F551" i="25"/>
  <c r="I616" i="1"/>
  <c r="C662" i="55"/>
  <c r="K616" i="1"/>
  <c r="C260" i="55"/>
  <c r="I3978" i="1"/>
  <c r="K3978" i="1" s="1"/>
  <c r="K3961" i="1"/>
  <c r="V1445" i="1"/>
  <c r="R1484" i="1"/>
  <c r="R1486" i="1" s="1"/>
  <c r="K569" i="11"/>
  <c r="L566" i="11"/>
  <c r="K3956" i="1"/>
  <c r="I3973" i="1"/>
  <c r="K3973" i="1" s="1"/>
  <c r="M1119" i="11"/>
  <c r="L1121" i="11"/>
  <c r="K1120" i="11"/>
  <c r="C1499" i="55" s="1"/>
  <c r="I3415" i="27"/>
  <c r="K3415" i="27" s="1"/>
  <c r="K3419" i="27" s="1"/>
  <c r="I3476" i="27"/>
  <c r="K3476" i="27" s="1"/>
  <c r="K3481" i="27" s="1"/>
  <c r="L3481" i="27" s="1"/>
  <c r="K3396" i="27"/>
  <c r="K3400" i="27" s="1"/>
  <c r="V3607" i="1"/>
  <c r="X3607" i="1" s="1"/>
  <c r="X3590" i="1"/>
  <c r="C1498" i="55"/>
  <c r="C917" i="55"/>
  <c r="V1454" i="1"/>
  <c r="R1493" i="1"/>
  <c r="R1503" i="1" s="1"/>
  <c r="X594" i="1"/>
  <c r="C657" i="55"/>
  <c r="AG427" i="1"/>
  <c r="AE442" i="1"/>
  <c r="AG442" i="1" s="1"/>
  <c r="L585" i="11"/>
  <c r="K588" i="11"/>
  <c r="K256" i="11"/>
  <c r="K260" i="11" s="1"/>
  <c r="C833" i="55"/>
  <c r="C319" i="55"/>
  <c r="C832" i="55"/>
  <c r="C779" i="55"/>
  <c r="S1546" i="1"/>
  <c r="K2186" i="27"/>
  <c r="C883" i="55"/>
  <c r="O3398" i="27"/>
  <c r="C882" i="55"/>
  <c r="K2185" i="27"/>
  <c r="I1419" i="1" l="1"/>
  <c r="D476" i="81"/>
  <c r="F476" i="81" s="1"/>
  <c r="F482" i="81" s="1"/>
  <c r="F484" i="81" s="1"/>
  <c r="D68" i="79" s="1"/>
  <c r="F68" i="79" s="1"/>
  <c r="P51" i="1"/>
  <c r="R51" i="1" s="1"/>
  <c r="R58" i="1" s="1"/>
  <c r="R61" i="1" s="1"/>
  <c r="P611" i="1" s="1"/>
  <c r="R611" i="1" s="1"/>
  <c r="K984" i="11"/>
  <c r="K992" i="11" s="1"/>
  <c r="K1014" i="11" s="1"/>
  <c r="R1066" i="1"/>
  <c r="R1076" i="1" s="1"/>
  <c r="R1078" i="1" s="1"/>
  <c r="I2306" i="27"/>
  <c r="K2306" i="27" s="1"/>
  <c r="K2313" i="27" s="1"/>
  <c r="K2316" i="27" s="1"/>
  <c r="I1662" i="27"/>
  <c r="K1662" i="27" s="1"/>
  <c r="K1665" i="27" s="1"/>
  <c r="K1667" i="27" s="1"/>
  <c r="I1672" i="27" s="1"/>
  <c r="K1672" i="27" s="1"/>
  <c r="K1675" i="27" s="1"/>
  <c r="K1677" i="27" s="1"/>
  <c r="I2465" i="27"/>
  <c r="K2465" i="27" s="1"/>
  <c r="K2472" i="27" s="1"/>
  <c r="K2474" i="27" s="1"/>
  <c r="I1651" i="27"/>
  <c r="K1651" i="27" s="1"/>
  <c r="K1656" i="27" s="1"/>
  <c r="K1658" i="27" s="1"/>
  <c r="J3879" i="1"/>
  <c r="J3881" i="1" s="1"/>
  <c r="I815" i="27"/>
  <c r="K815" i="27" s="1"/>
  <c r="K827" i="27" s="1"/>
  <c r="I850" i="27"/>
  <c r="K850" i="27" s="1"/>
  <c r="K863" i="27" s="1"/>
  <c r="K785" i="27"/>
  <c r="K788" i="27" s="1"/>
  <c r="K789" i="27" s="1"/>
  <c r="K790" i="27" s="1"/>
  <c r="K791" i="27" s="1"/>
  <c r="K792" i="27" s="1"/>
  <c r="I833" i="27"/>
  <c r="K833" i="27" s="1"/>
  <c r="K846" i="27" s="1"/>
  <c r="K3628" i="27"/>
  <c r="I3615" i="27" s="1"/>
  <c r="I3677" i="27"/>
  <c r="K3677" i="27" s="1"/>
  <c r="K606" i="11"/>
  <c r="K610" i="11" s="1"/>
  <c r="V3611" i="1"/>
  <c r="X3611" i="1" s="1"/>
  <c r="X3594" i="1"/>
  <c r="AG3561" i="1"/>
  <c r="AG3565" i="1" s="1"/>
  <c r="AG3566" i="1" s="1"/>
  <c r="V3624" i="1"/>
  <c r="K3913" i="27"/>
  <c r="K3917" i="27" s="1"/>
  <c r="K3918" i="27" s="1"/>
  <c r="I608" i="27"/>
  <c r="K608" i="27" s="1"/>
  <c r="K612" i="27" s="1"/>
  <c r="K614" i="27" s="1"/>
  <c r="K284" i="27"/>
  <c r="K286" i="27" s="1"/>
  <c r="K287" i="27" s="1"/>
  <c r="K288" i="27" s="1"/>
  <c r="K289" i="27" s="1"/>
  <c r="K290" i="27" s="1"/>
  <c r="P634" i="27"/>
  <c r="R634" i="27" s="1"/>
  <c r="V3577" i="1"/>
  <c r="X3561" i="1"/>
  <c r="X3565" i="1" s="1"/>
  <c r="X3566" i="1" s="1"/>
  <c r="C812" i="55" s="1"/>
  <c r="K227" i="1"/>
  <c r="K233" i="1" s="1"/>
  <c r="K235" i="1" s="1"/>
  <c r="C47" i="55" s="1"/>
  <c r="K1201" i="1"/>
  <c r="K1212" i="1" s="1"/>
  <c r="K1214" i="1" s="1"/>
  <c r="C330" i="55" s="1"/>
  <c r="K1406" i="1"/>
  <c r="K1413" i="1" s="1"/>
  <c r="K1415" i="1" s="1"/>
  <c r="C342" i="55" s="1"/>
  <c r="X2613" i="1"/>
  <c r="X2614" i="1" s="1"/>
  <c r="X2616" i="1" s="1"/>
  <c r="AE2661" i="1"/>
  <c r="AG2661" i="1" s="1"/>
  <c r="AS202" i="1"/>
  <c r="AU200" i="1"/>
  <c r="AV200" i="1" s="1"/>
  <c r="AG2662" i="1"/>
  <c r="AG2664" i="1" s="1"/>
  <c r="R2866" i="1"/>
  <c r="R2868" i="1" s="1"/>
  <c r="C621" i="55" s="1"/>
  <c r="D105" i="50"/>
  <c r="F105" i="50" s="1"/>
  <c r="K2188" i="27"/>
  <c r="C885" i="55"/>
  <c r="I3100" i="27"/>
  <c r="I3936" i="27"/>
  <c r="K3936" i="27" s="1"/>
  <c r="K3939" i="27" s="1"/>
  <c r="K3941" i="27" s="1"/>
  <c r="K3074" i="27"/>
  <c r="K3077" i="27" s="1"/>
  <c r="F109" i="25"/>
  <c r="F118" i="25" s="1"/>
  <c r="H118" i="25" s="1"/>
  <c r="D132" i="25"/>
  <c r="K2965" i="27"/>
  <c r="L2966" i="27"/>
  <c r="C295" i="55"/>
  <c r="L3064" i="27"/>
  <c r="K3063" i="27"/>
  <c r="AC1208" i="1"/>
  <c r="AC1209" i="1" s="1"/>
  <c r="AJ1207" i="1"/>
  <c r="W543" i="1"/>
  <c r="AC543" i="1" s="1"/>
  <c r="AJ543" i="1" s="1"/>
  <c r="J544" i="1"/>
  <c r="K2263" i="1"/>
  <c r="C688" i="55"/>
  <c r="F625" i="25"/>
  <c r="D661" i="25"/>
  <c r="C689" i="55"/>
  <c r="K2264" i="1"/>
  <c r="C418" i="55" s="1"/>
  <c r="L610" i="11"/>
  <c r="K2288" i="1"/>
  <c r="C446" i="55" s="1"/>
  <c r="K3515" i="1"/>
  <c r="K3516" i="1" s="1"/>
  <c r="C559" i="55" s="1"/>
  <c r="Z807" i="11"/>
  <c r="C938" i="55"/>
  <c r="F546" i="25"/>
  <c r="F556" i="25" s="1"/>
  <c r="F558" i="25" s="1"/>
  <c r="C875" i="55" s="1"/>
  <c r="D583" i="25"/>
  <c r="C623" i="55"/>
  <c r="C294" i="55"/>
  <c r="I4065" i="1"/>
  <c r="K4065" i="1" s="1"/>
  <c r="K4075" i="1" s="1"/>
  <c r="K4077" i="1" s="1"/>
  <c r="V3132" i="1"/>
  <c r="X3115" i="1"/>
  <c r="X3125" i="1" s="1"/>
  <c r="X3127" i="1" s="1"/>
  <c r="R1112" i="1"/>
  <c r="V3635" i="1"/>
  <c r="X3635" i="1" s="1"/>
  <c r="V3249" i="1"/>
  <c r="X3249" i="1" s="1"/>
  <c r="X3260" i="1" s="1"/>
  <c r="X3262" i="1" s="1"/>
  <c r="K3281" i="1"/>
  <c r="K3292" i="1" s="1"/>
  <c r="K3294" i="1" s="1"/>
  <c r="C626" i="55"/>
  <c r="C1441" i="55"/>
  <c r="P1113" i="1"/>
  <c r="R1091" i="1"/>
  <c r="R1092" i="1"/>
  <c r="P1114" i="1"/>
  <c r="C631" i="55"/>
  <c r="C1434" i="55"/>
  <c r="C610" i="55"/>
  <c r="C302" i="55"/>
  <c r="K816" i="1"/>
  <c r="K818" i="1" s="1"/>
  <c r="K822" i="1" s="1"/>
  <c r="R2833" i="1"/>
  <c r="R2835" i="1" s="1"/>
  <c r="R239" i="1"/>
  <c r="R241" i="1" s="1"/>
  <c r="C591" i="55" s="1"/>
  <c r="I1972" i="1"/>
  <c r="P597" i="1"/>
  <c r="R597" i="1" s="1"/>
  <c r="I1272" i="1"/>
  <c r="AB1333" i="1"/>
  <c r="AC1333" i="1" s="1"/>
  <c r="AC1337" i="1" s="1"/>
  <c r="AC1338" i="1" s="1"/>
  <c r="V1342" i="1" s="1"/>
  <c r="X1342" i="1" s="1"/>
  <c r="I212" i="1"/>
  <c r="K212" i="1" s="1"/>
  <c r="K218" i="1" s="1"/>
  <c r="K220" i="1" s="1"/>
  <c r="C46" i="55" s="1"/>
  <c r="P308" i="1"/>
  <c r="R308" i="1" s="1"/>
  <c r="R314" i="1" s="1"/>
  <c r="R316" i="1" s="1"/>
  <c r="P67" i="1"/>
  <c r="R67" i="1" s="1"/>
  <c r="R73" i="1" s="1"/>
  <c r="R75" i="1" s="1"/>
  <c r="P654" i="1" s="1"/>
  <c r="R654" i="1" s="1"/>
  <c r="P320" i="1"/>
  <c r="R320" i="1" s="1"/>
  <c r="R326" i="1" s="1"/>
  <c r="R328" i="1" s="1"/>
  <c r="I3808" i="1"/>
  <c r="K3808" i="1" s="1"/>
  <c r="K3813" i="1" s="1"/>
  <c r="K3815" i="1" s="1"/>
  <c r="C924" i="55" s="1"/>
  <c r="K2914" i="1"/>
  <c r="C571" i="55"/>
  <c r="V708" i="1"/>
  <c r="AD645" i="1"/>
  <c r="AF645" i="1" s="1"/>
  <c r="AF651" i="1" s="1"/>
  <c r="AF653" i="1" s="1"/>
  <c r="AF655" i="1" s="1"/>
  <c r="AF656" i="1" s="1"/>
  <c r="AF658" i="1" s="1"/>
  <c r="X645" i="1"/>
  <c r="X651" i="1" s="1"/>
  <c r="X653" i="1" s="1"/>
  <c r="X655" i="1" s="1"/>
  <c r="X656" i="1" s="1"/>
  <c r="X658" i="1" s="1"/>
  <c r="I1393" i="1"/>
  <c r="P81" i="1"/>
  <c r="R81" i="1" s="1"/>
  <c r="R88" i="1" s="1"/>
  <c r="R90" i="1" s="1"/>
  <c r="P655" i="1" s="1"/>
  <c r="R655" i="1" s="1"/>
  <c r="P337" i="1"/>
  <c r="R337" i="1" s="1"/>
  <c r="R343" i="1" s="1"/>
  <c r="R345" i="1" s="1"/>
  <c r="V313" i="1"/>
  <c r="X313" i="1" s="1"/>
  <c r="X320" i="1" s="1"/>
  <c r="X322" i="1" s="1"/>
  <c r="I1479" i="1"/>
  <c r="K1479" i="1" s="1"/>
  <c r="K1484" i="1" s="1"/>
  <c r="K1486" i="1" s="1"/>
  <c r="C347" i="55" s="1"/>
  <c r="AE313" i="1"/>
  <c r="I1454" i="1"/>
  <c r="K1454" i="1" s="1"/>
  <c r="K1459" i="1" s="1"/>
  <c r="K1461" i="1" s="1"/>
  <c r="C345" i="55" s="1"/>
  <c r="I1466" i="1"/>
  <c r="K1466" i="1" s="1"/>
  <c r="K1471" i="1" s="1"/>
  <c r="K1473" i="1" s="1"/>
  <c r="C346" i="55" s="1"/>
  <c r="AQ65" i="1"/>
  <c r="AS65" i="1" s="1"/>
  <c r="AS72" i="1" s="1"/>
  <c r="AS74" i="1" s="1"/>
  <c r="I298" i="1"/>
  <c r="K298" i="1" s="1"/>
  <c r="K305" i="1" s="1"/>
  <c r="K307" i="1" s="1"/>
  <c r="C54" i="55" s="1"/>
  <c r="I3253" i="1"/>
  <c r="K3253" i="1" s="1"/>
  <c r="K3259" i="1" s="1"/>
  <c r="K3261" i="1" s="1"/>
  <c r="I197" i="1"/>
  <c r="I313" i="1"/>
  <c r="AQ165" i="1"/>
  <c r="AS165" i="1" s="1"/>
  <c r="AU165" i="1" s="1"/>
  <c r="AV165" i="1" s="1"/>
  <c r="AS134" i="1"/>
  <c r="AU134" i="1" s="1"/>
  <c r="AV134" i="1" s="1"/>
  <c r="I427" i="1"/>
  <c r="K427" i="1" s="1"/>
  <c r="K431" i="1" s="1"/>
  <c r="K433" i="1" s="1"/>
  <c r="K435" i="1" s="1"/>
  <c r="P268" i="1"/>
  <c r="R268" i="1" s="1"/>
  <c r="R272" i="1" s="1"/>
  <c r="R274" i="1" s="1"/>
  <c r="R276" i="1" s="1"/>
  <c r="R277" i="1" s="1"/>
  <c r="R278" i="1" s="1"/>
  <c r="R279" i="1" s="1"/>
  <c r="N14" i="1"/>
  <c r="K14" i="1"/>
  <c r="I551" i="1"/>
  <c r="K551" i="1" s="1"/>
  <c r="K556" i="1" s="1"/>
  <c r="K558" i="1" s="1"/>
  <c r="I527" i="1"/>
  <c r="K527" i="1" s="1"/>
  <c r="K532" i="1" s="1"/>
  <c r="K534" i="1" s="1"/>
  <c r="I536" i="1" s="1"/>
  <c r="K536" i="1" s="1"/>
  <c r="K518" i="1"/>
  <c r="K520" i="1" s="1"/>
  <c r="X803" i="1"/>
  <c r="X812" i="1" s="1"/>
  <c r="V818" i="1"/>
  <c r="X818" i="1" s="1"/>
  <c r="X827" i="1" s="1"/>
  <c r="Z816" i="1" s="1"/>
  <c r="Z817" i="1" s="1"/>
  <c r="Z818" i="1" s="1"/>
  <c r="Z819" i="1" s="1"/>
  <c r="Z820" i="1" s="1"/>
  <c r="Z821" i="1" s="1"/>
  <c r="Z822" i="1" s="1"/>
  <c r="Z823" i="1" s="1"/>
  <c r="Z824" i="1" s="1"/>
  <c r="Z825" i="1" s="1"/>
  <c r="I1337" i="1"/>
  <c r="P197" i="1"/>
  <c r="K1419" i="1"/>
  <c r="K1425" i="1" s="1"/>
  <c r="K1427" i="1" s="1"/>
  <c r="C343" i="55" s="1"/>
  <c r="I1355" i="1"/>
  <c r="I1707" i="1"/>
  <c r="K1707" i="1" s="1"/>
  <c r="K1712" i="1" s="1"/>
  <c r="K1714" i="1" s="1"/>
  <c r="I621" i="1"/>
  <c r="K621" i="1" s="1"/>
  <c r="K626" i="1" s="1"/>
  <c r="K628" i="1" s="1"/>
  <c r="I629" i="1" s="1"/>
  <c r="K629" i="1" s="1"/>
  <c r="I2425" i="1"/>
  <c r="P297" i="1"/>
  <c r="R297" i="1" s="1"/>
  <c r="R303" i="1" s="1"/>
  <c r="R305" i="1" s="1"/>
  <c r="I1377" i="1"/>
  <c r="K1377" i="1" s="1"/>
  <c r="I1434" i="1"/>
  <c r="K1434" i="1" s="1"/>
  <c r="I1250" i="1"/>
  <c r="I1221" i="1"/>
  <c r="I3456" i="1"/>
  <c r="P1334" i="1"/>
  <c r="P658" i="1"/>
  <c r="R658" i="1" s="1"/>
  <c r="C217" i="55"/>
  <c r="K469" i="1"/>
  <c r="I337" i="1"/>
  <c r="AQ89" i="1"/>
  <c r="AS89" i="1" s="1"/>
  <c r="AS96" i="1" s="1"/>
  <c r="AS98" i="1" s="1"/>
  <c r="AS100" i="1" s="1"/>
  <c r="P181" i="1"/>
  <c r="R181" i="1" s="1"/>
  <c r="V381" i="1"/>
  <c r="K381" i="1"/>
  <c r="K388" i="1" s="1"/>
  <c r="K390" i="1" s="1"/>
  <c r="I395" i="1" s="1"/>
  <c r="K395" i="1" s="1"/>
  <c r="K399" i="1" s="1"/>
  <c r="K401" i="1" s="1"/>
  <c r="V357" i="1"/>
  <c r="K357" i="1"/>
  <c r="K364" i="1" s="1"/>
  <c r="K366" i="1" s="1"/>
  <c r="K368" i="1" s="1"/>
  <c r="R2347" i="1"/>
  <c r="P2356" i="1"/>
  <c r="R2356" i="1" s="1"/>
  <c r="R2358" i="1" s="1"/>
  <c r="C709" i="55" s="1"/>
  <c r="X676" i="1"/>
  <c r="V730" i="1"/>
  <c r="X730" i="1" s="1"/>
  <c r="V762" i="1"/>
  <c r="X762" i="1" s="1"/>
  <c r="D41" i="50"/>
  <c r="R1142" i="1"/>
  <c r="R1153" i="1" s="1"/>
  <c r="R1157" i="1" s="1"/>
  <c r="P1173" i="1"/>
  <c r="R1173" i="1" s="1"/>
  <c r="R1184" i="1" s="1"/>
  <c r="V196" i="1"/>
  <c r="X196" i="1" s="1"/>
  <c r="I196" i="1"/>
  <c r="Z706" i="1"/>
  <c r="P657" i="1"/>
  <c r="R657" i="1" s="1"/>
  <c r="I638" i="1"/>
  <c r="K638" i="1" s="1"/>
  <c r="K642" i="1" s="1"/>
  <c r="K644" i="1" s="1"/>
  <c r="K286" i="1"/>
  <c r="F41" i="32"/>
  <c r="D104" i="32"/>
  <c r="F104" i="32" s="1"/>
  <c r="K261" i="11"/>
  <c r="C1464" i="55" s="1"/>
  <c r="L260" i="11"/>
  <c r="AB1452" i="1"/>
  <c r="AD1452" i="1" s="1"/>
  <c r="AD1462" i="1" s="1"/>
  <c r="X1454" i="1"/>
  <c r="X1464" i="1" s="1"/>
  <c r="C313" i="55" s="1"/>
  <c r="F61" i="79"/>
  <c r="L569" i="11"/>
  <c r="M566" i="11"/>
  <c r="L3396" i="27"/>
  <c r="AQ135" i="1"/>
  <c r="AS110" i="1"/>
  <c r="R242" i="11"/>
  <c r="R246" i="11" s="1"/>
  <c r="AE242" i="11"/>
  <c r="AG242" i="11" s="1"/>
  <c r="AG246" i="11" s="1"/>
  <c r="L588" i="11"/>
  <c r="M585" i="11"/>
  <c r="X595" i="1"/>
  <c r="X596" i="1" s="1"/>
  <c r="Y591" i="1" s="1"/>
  <c r="Y592" i="1" s="1"/>
  <c r="Y593" i="1" s="1"/>
  <c r="Y594" i="1" s="1"/>
  <c r="Y595" i="1" s="1"/>
  <c r="C658" i="55"/>
  <c r="V1469" i="1"/>
  <c r="X1469" i="1" s="1"/>
  <c r="X1471" i="1" s="1"/>
  <c r="X1472" i="1" s="1"/>
  <c r="X1445" i="1"/>
  <c r="X1447" i="1" s="1"/>
  <c r="X1448" i="1" s="1"/>
  <c r="C834" i="55" s="1"/>
  <c r="K274" i="11"/>
  <c r="L275" i="11"/>
  <c r="L589" i="11"/>
  <c r="C445" i="55"/>
  <c r="C721" i="55"/>
  <c r="S1447" i="1"/>
  <c r="R1487" i="1"/>
  <c r="C831" i="55" s="1"/>
  <c r="C320" i="55"/>
  <c r="C835" i="55"/>
  <c r="P283" i="11"/>
  <c r="K283" i="11"/>
  <c r="K287" i="11" s="1"/>
  <c r="C651" i="55"/>
  <c r="C255" i="55"/>
  <c r="I595" i="1"/>
  <c r="K595" i="1" s="1"/>
  <c r="L250" i="11"/>
  <c r="L571" i="11"/>
  <c r="C444" i="55"/>
  <c r="C722" i="55"/>
  <c r="C663" i="55"/>
  <c r="K617" i="1"/>
  <c r="C261" i="55"/>
  <c r="I617" i="1"/>
  <c r="D623" i="25"/>
  <c r="F588" i="25"/>
  <c r="AB1217" i="1"/>
  <c r="AD1217" i="1" s="1"/>
  <c r="AD1245" i="1"/>
  <c r="I797" i="11"/>
  <c r="K652" i="11"/>
  <c r="I646" i="11" s="1"/>
  <c r="K646" i="11" s="1"/>
  <c r="K650" i="11" s="1"/>
  <c r="L650" i="11" s="1"/>
  <c r="K2283" i="1" l="1"/>
  <c r="D63" i="79"/>
  <c r="F63" i="79" s="1"/>
  <c r="C417" i="55"/>
  <c r="D24" i="79"/>
  <c r="F24" i="79" s="1"/>
  <c r="K993" i="11"/>
  <c r="M993" i="11"/>
  <c r="I2106" i="1"/>
  <c r="K2106" i="1" s="1"/>
  <c r="K2112" i="1" s="1"/>
  <c r="C399" i="55" s="1"/>
  <c r="I1992" i="1"/>
  <c r="K1992" i="1" s="1"/>
  <c r="P624" i="1"/>
  <c r="R624" i="1" s="1"/>
  <c r="I2442" i="1"/>
  <c r="K2442" i="1" s="1"/>
  <c r="K2447" i="1" s="1"/>
  <c r="K2449" i="1" s="1"/>
  <c r="L3919" i="27"/>
  <c r="P577" i="27"/>
  <c r="R577" i="27" s="1"/>
  <c r="P608" i="27"/>
  <c r="R608" i="27" s="1"/>
  <c r="I620" i="27"/>
  <c r="K620" i="27" s="1"/>
  <c r="K626" i="27" s="1"/>
  <c r="K628" i="27" s="1"/>
  <c r="K630" i="27" s="1"/>
  <c r="I2693" i="27"/>
  <c r="K2693" i="27" s="1"/>
  <c r="P591" i="27"/>
  <c r="R591" i="27" s="1"/>
  <c r="X3577" i="1"/>
  <c r="X3581" i="1" s="1"/>
  <c r="X3582" i="1" s="1"/>
  <c r="C811" i="55" s="1"/>
  <c r="V3592" i="1"/>
  <c r="X3624" i="1"/>
  <c r="X3628" i="1" s="1"/>
  <c r="X3629" i="1" s="1"/>
  <c r="C814" i="55" s="1"/>
  <c r="AB3624" i="1"/>
  <c r="AD3624" i="1" s="1"/>
  <c r="AD3629" i="1" s="1"/>
  <c r="AD3630" i="1" s="1"/>
  <c r="C818" i="55" s="1"/>
  <c r="I3673" i="27"/>
  <c r="K3673" i="27" s="1"/>
  <c r="I3663" i="27"/>
  <c r="K3663" i="27" s="1"/>
  <c r="K3615" i="27"/>
  <c r="I3646" i="27"/>
  <c r="K3646" i="27" s="1"/>
  <c r="K1337" i="1"/>
  <c r="K1343" i="1" s="1"/>
  <c r="K1345" i="1" s="1"/>
  <c r="V1334" i="1" s="1"/>
  <c r="X1334" i="1" s="1"/>
  <c r="K1355" i="1"/>
  <c r="I2993" i="1"/>
  <c r="K2993" i="1" s="1"/>
  <c r="K3000" i="1" s="1"/>
  <c r="K3002" i="1" s="1"/>
  <c r="K313" i="1"/>
  <c r="K320" i="1" s="1"/>
  <c r="K322" i="1" s="1"/>
  <c r="C59" i="55" s="1"/>
  <c r="AS204" i="1"/>
  <c r="AU202" i="1"/>
  <c r="AV202" i="1" s="1"/>
  <c r="R1102" i="1"/>
  <c r="R1104" i="1" s="1"/>
  <c r="C887" i="55"/>
  <c r="K2190" i="27"/>
  <c r="I3114" i="27"/>
  <c r="P3073" i="27"/>
  <c r="R3073" i="27" s="1"/>
  <c r="R3077" i="27" s="1"/>
  <c r="R3078" i="27" s="1"/>
  <c r="K3100" i="27"/>
  <c r="K3104" i="27" s="1"/>
  <c r="D133" i="25"/>
  <c r="D298" i="25"/>
  <c r="F298" i="25" s="1"/>
  <c r="F132" i="25"/>
  <c r="K3948" i="27"/>
  <c r="K3952" i="27" s="1"/>
  <c r="K3953" i="27" s="1"/>
  <c r="K3942" i="27"/>
  <c r="J545" i="1"/>
  <c r="W544" i="1"/>
  <c r="AC544" i="1" s="1"/>
  <c r="AJ544" i="1" s="1"/>
  <c r="K3087" i="27"/>
  <c r="K3091" i="27" s="1"/>
  <c r="K3079" i="27"/>
  <c r="D697" i="25"/>
  <c r="F697" i="25" s="1"/>
  <c r="F661" i="25"/>
  <c r="V3157" i="1"/>
  <c r="X3132" i="1"/>
  <c r="X3142" i="1" s="1"/>
  <c r="X3144" i="1" s="1"/>
  <c r="C437" i="55"/>
  <c r="C697" i="55"/>
  <c r="C297" i="55"/>
  <c r="C622" i="55"/>
  <c r="V3636" i="1"/>
  <c r="X3636" i="1" s="1"/>
  <c r="R1113" i="1"/>
  <c r="R1114" i="1"/>
  <c r="V3637" i="1"/>
  <c r="X3637" i="1" s="1"/>
  <c r="C1465" i="55"/>
  <c r="K2284" i="1"/>
  <c r="F583" i="25"/>
  <c r="F593" i="25" s="1"/>
  <c r="F595" i="25" s="1"/>
  <c r="C874" i="55" s="1"/>
  <c r="D618" i="25"/>
  <c r="C539" i="55"/>
  <c r="AS101" i="1"/>
  <c r="AS102" i="1" s="1"/>
  <c r="AU100" i="1"/>
  <c r="AV100" i="1" s="1"/>
  <c r="I1721" i="1"/>
  <c r="K1721" i="1" s="1"/>
  <c r="K1726" i="1" s="1"/>
  <c r="K1728" i="1" s="1"/>
  <c r="I2384" i="1"/>
  <c r="I1732" i="1"/>
  <c r="K1732" i="1" s="1"/>
  <c r="K1735" i="1" s="1"/>
  <c r="K1737" i="1" s="1"/>
  <c r="I1742" i="1" s="1"/>
  <c r="K1742" i="1" s="1"/>
  <c r="K1745" i="1" s="1"/>
  <c r="K1747" i="1" s="1"/>
  <c r="C369" i="55" s="1"/>
  <c r="K403" i="1"/>
  <c r="C167" i="55"/>
  <c r="P3462" i="1"/>
  <c r="R3462" i="1" s="1"/>
  <c r="R3475" i="1" s="1"/>
  <c r="R3477" i="1" s="1"/>
  <c r="I3823" i="1"/>
  <c r="K3823" i="1" s="1"/>
  <c r="K3836" i="1" s="1"/>
  <c r="K3838" i="1" s="1"/>
  <c r="C923" i="55" s="1"/>
  <c r="K3456" i="1"/>
  <c r="K3469" i="1" s="1"/>
  <c r="K3471" i="1" s="1"/>
  <c r="I630" i="1"/>
  <c r="K630" i="1" s="1"/>
  <c r="C642" i="55"/>
  <c r="V197" i="1"/>
  <c r="X197" i="1" s="1"/>
  <c r="X203" i="1" s="1"/>
  <c r="X205" i="1" s="1"/>
  <c r="C592" i="55" s="1"/>
  <c r="R197" i="1"/>
  <c r="R203" i="1" s="1"/>
  <c r="R205" i="1" s="1"/>
  <c r="C590" i="55" s="1"/>
  <c r="L520" i="1"/>
  <c r="K521" i="1"/>
  <c r="K522" i="1" s="1"/>
  <c r="K523" i="1" s="1"/>
  <c r="AS76" i="1"/>
  <c r="AS77" i="1" s="1"/>
  <c r="AS78" i="1" s="1"/>
  <c r="AS79" i="1" s="1"/>
  <c r="AS80" i="1" s="1"/>
  <c r="C537" i="55"/>
  <c r="K1393" i="1"/>
  <c r="K1399" i="1" s="1"/>
  <c r="K1401" i="1" s="1"/>
  <c r="D18" i="79" s="1"/>
  <c r="K1272" i="1"/>
  <c r="K1277" i="1" s="1"/>
  <c r="K1279" i="1" s="1"/>
  <c r="D17" i="79" s="1"/>
  <c r="I1286" i="1"/>
  <c r="K1286" i="1" s="1"/>
  <c r="K1291" i="1" s="1"/>
  <c r="K1293" i="1" s="1"/>
  <c r="C747" i="55" s="1"/>
  <c r="AB1265" i="1"/>
  <c r="AD1265" i="1" s="1"/>
  <c r="AD1270" i="1" s="1"/>
  <c r="AD1272" i="1" s="1"/>
  <c r="AE366" i="1"/>
  <c r="AG366" i="1" s="1"/>
  <c r="AG373" i="1" s="1"/>
  <c r="AG375" i="1" s="1"/>
  <c r="AG377" i="1" s="1"/>
  <c r="AG378" i="1" s="1"/>
  <c r="X357" i="1"/>
  <c r="X364" i="1" s="1"/>
  <c r="X366" i="1" s="1"/>
  <c r="R1334" i="1"/>
  <c r="R1339" i="1" s="1"/>
  <c r="R1341" i="1" s="1"/>
  <c r="R1342" i="1" s="1"/>
  <c r="R1343" i="1" s="1"/>
  <c r="R1344" i="1" s="1"/>
  <c r="R1345" i="1" s="1"/>
  <c r="R1346" i="1" s="1"/>
  <c r="Q1342" i="1" s="1"/>
  <c r="Q1343" i="1" s="1"/>
  <c r="AB1190" i="1"/>
  <c r="V1333" i="1"/>
  <c r="X1333" i="1" s="1"/>
  <c r="V1300" i="1"/>
  <c r="P1374" i="1"/>
  <c r="R1374" i="1" s="1"/>
  <c r="R1387" i="1" s="1"/>
  <c r="R1389" i="1" s="1"/>
  <c r="K1441" i="1"/>
  <c r="K1443" i="1" s="1"/>
  <c r="L1413" i="1"/>
  <c r="P2432" i="1"/>
  <c r="R2432" i="1" s="1"/>
  <c r="R2441" i="1" s="1"/>
  <c r="R2443" i="1" s="1"/>
  <c r="C1430" i="55" s="1"/>
  <c r="K2425" i="1"/>
  <c r="K2434" i="1" s="1"/>
  <c r="K2436" i="1" s="1"/>
  <c r="AG313" i="1"/>
  <c r="AG320" i="1" s="1"/>
  <c r="AG322" i="1" s="1"/>
  <c r="V678" i="1"/>
  <c r="D43" i="32"/>
  <c r="X708" i="1"/>
  <c r="C1458" i="55"/>
  <c r="C589" i="55"/>
  <c r="K369" i="1"/>
  <c r="J368" i="1"/>
  <c r="C218" i="55"/>
  <c r="K470" i="1"/>
  <c r="K1250" i="1"/>
  <c r="K1263" i="1" s="1"/>
  <c r="K1265" i="1" s="1"/>
  <c r="D16" i="79" s="1"/>
  <c r="V1279" i="1"/>
  <c r="X1279" i="1" s="1"/>
  <c r="X1292" i="1" s="1"/>
  <c r="X1294" i="1" s="1"/>
  <c r="C746" i="55" s="1"/>
  <c r="I560" i="1"/>
  <c r="K560" i="1" s="1"/>
  <c r="C245" i="55"/>
  <c r="K436" i="1"/>
  <c r="C205" i="55"/>
  <c r="AF660" i="1"/>
  <c r="AF661" i="1" s="1"/>
  <c r="AF662" i="1" s="1"/>
  <c r="AF663" i="1" s="1"/>
  <c r="AF664" i="1" s="1"/>
  <c r="AF665" i="1" s="1"/>
  <c r="AB529" i="1"/>
  <c r="V412" i="1"/>
  <c r="X412" i="1" s="1"/>
  <c r="X419" i="1" s="1"/>
  <c r="X421" i="1" s="1"/>
  <c r="V427" i="1" s="1"/>
  <c r="X427" i="1" s="1"/>
  <c r="X431" i="1" s="1"/>
  <c r="X433" i="1" s="1"/>
  <c r="X435" i="1" s="1"/>
  <c r="X381" i="1"/>
  <c r="X388" i="1" s="1"/>
  <c r="X390" i="1" s="1"/>
  <c r="V395" i="1" s="1"/>
  <c r="X395" i="1" s="1"/>
  <c r="X399" i="1" s="1"/>
  <c r="X401" i="1" s="1"/>
  <c r="AE390" i="1"/>
  <c r="V337" i="1"/>
  <c r="K337" i="1"/>
  <c r="K344" i="1" s="1"/>
  <c r="K346" i="1" s="1"/>
  <c r="K348" i="1" s="1"/>
  <c r="K1221" i="1"/>
  <c r="K1239" i="1" s="1"/>
  <c r="K1242" i="1" s="1"/>
  <c r="P1217" i="1"/>
  <c r="P656" i="1"/>
  <c r="R656" i="1" s="1"/>
  <c r="R673" i="1" s="1"/>
  <c r="P599" i="1"/>
  <c r="R599" i="1" s="1"/>
  <c r="P613" i="1"/>
  <c r="R613" i="1" s="1"/>
  <c r="C232" i="55"/>
  <c r="I537" i="1"/>
  <c r="K537" i="1" s="1"/>
  <c r="K197" i="1"/>
  <c r="C55" i="55"/>
  <c r="X324" i="1"/>
  <c r="X660" i="1"/>
  <c r="X661" i="1" s="1"/>
  <c r="X662" i="1" s="1"/>
  <c r="X663" i="1" s="1"/>
  <c r="X664" i="1" s="1"/>
  <c r="X665" i="1" s="1"/>
  <c r="V529" i="1"/>
  <c r="I2928" i="1"/>
  <c r="K2928" i="1" s="1"/>
  <c r="K2931" i="1" s="1"/>
  <c r="K2932" i="1" s="1"/>
  <c r="C576" i="55" s="1"/>
  <c r="K2915" i="1"/>
  <c r="C572" i="55"/>
  <c r="K1972" i="1"/>
  <c r="K1978" i="1" s="1"/>
  <c r="P1972" i="1"/>
  <c r="H41" i="32"/>
  <c r="R1185" i="1"/>
  <c r="C519" i="55"/>
  <c r="I650" i="1"/>
  <c r="K650" i="1" s="1"/>
  <c r="K656" i="1" s="1"/>
  <c r="K658" i="1" s="1"/>
  <c r="I660" i="1" s="1"/>
  <c r="K660" i="1" s="1"/>
  <c r="P614" i="1"/>
  <c r="R614" i="1" s="1"/>
  <c r="P631" i="1"/>
  <c r="R631" i="1" s="1"/>
  <c r="P600" i="1"/>
  <c r="R600" i="1" s="1"/>
  <c r="K196" i="1"/>
  <c r="P164" i="1"/>
  <c r="R164" i="1" s="1"/>
  <c r="R171" i="1" s="1"/>
  <c r="R173" i="1" s="1"/>
  <c r="F41" i="50"/>
  <c r="D104" i="50"/>
  <c r="F104" i="50" s="1"/>
  <c r="K824" i="1"/>
  <c r="I3921" i="1"/>
  <c r="C53" i="55"/>
  <c r="K288" i="1"/>
  <c r="C52" i="55"/>
  <c r="S1160" i="1"/>
  <c r="C522" i="55"/>
  <c r="R1159" i="1"/>
  <c r="C1446" i="55"/>
  <c r="C914" i="55"/>
  <c r="C1493" i="55"/>
  <c r="P297" i="11"/>
  <c r="R297" i="11" s="1"/>
  <c r="R301" i="11" s="1"/>
  <c r="R283" i="11"/>
  <c r="R287" i="11" s="1"/>
  <c r="AI246" i="11"/>
  <c r="AG247" i="11"/>
  <c r="AI247" i="11" s="1"/>
  <c r="AI248" i="11" s="1"/>
  <c r="K1026" i="11"/>
  <c r="K1018" i="11"/>
  <c r="K288" i="11"/>
  <c r="C1466" i="55" s="1"/>
  <c r="L289" i="11"/>
  <c r="AQ149" i="1"/>
  <c r="AS149" i="1" s="1"/>
  <c r="AQ166" i="1"/>
  <c r="AS135" i="1"/>
  <c r="M569" i="11"/>
  <c r="P568" i="11" s="1"/>
  <c r="M3396" i="27"/>
  <c r="M3400" i="27" s="1"/>
  <c r="N566" i="11"/>
  <c r="K797" i="11"/>
  <c r="I784" i="11" s="1"/>
  <c r="I846" i="11"/>
  <c r="K846" i="11" s="1"/>
  <c r="C262" i="55"/>
  <c r="C664" i="55"/>
  <c r="I596" i="1"/>
  <c r="K596" i="1" s="1"/>
  <c r="I597" i="1" s="1"/>
  <c r="K597" i="1" s="1"/>
  <c r="I598" i="1" s="1"/>
  <c r="K598" i="1" s="1"/>
  <c r="I599" i="1" s="1"/>
  <c r="K599" i="1" s="1"/>
  <c r="I600" i="1" s="1"/>
  <c r="K600" i="1" s="1"/>
  <c r="C652" i="55"/>
  <c r="K603" i="1"/>
  <c r="C256" i="55"/>
  <c r="M588" i="11"/>
  <c r="N585" i="11"/>
  <c r="AU110" i="1"/>
  <c r="AV110" i="1" s="1"/>
  <c r="AS116" i="1"/>
  <c r="L3415" i="27"/>
  <c r="L3419" i="27" s="1"/>
  <c r="L3400" i="27"/>
  <c r="K1151" i="11"/>
  <c r="F62" i="79"/>
  <c r="C698" i="55"/>
  <c r="F623" i="25"/>
  <c r="D659" i="25"/>
  <c r="R247" i="11"/>
  <c r="S248" i="11"/>
  <c r="S250" i="11"/>
  <c r="V247" i="11"/>
  <c r="V248" i="11" s="1"/>
  <c r="V249" i="11" s="1"/>
  <c r="T247" i="11"/>
  <c r="C1500" i="55"/>
  <c r="L1131" i="11"/>
  <c r="I1378" i="1" l="1"/>
  <c r="K1378" i="1" s="1"/>
  <c r="K1386" i="1" s="1"/>
  <c r="K1388" i="1" s="1"/>
  <c r="I1356" i="1"/>
  <c r="P1992" i="1"/>
  <c r="C540" i="55"/>
  <c r="R1972" i="1"/>
  <c r="R1979" i="1" s="1"/>
  <c r="C869" i="55" s="1"/>
  <c r="F21" i="79" s="1"/>
  <c r="K631" i="27"/>
  <c r="K632" i="27" s="1"/>
  <c r="K633" i="27" s="1"/>
  <c r="K634" i="27" s="1"/>
  <c r="I2616" i="27"/>
  <c r="K2616" i="27" s="1"/>
  <c r="P625" i="1"/>
  <c r="R625" i="1" s="1"/>
  <c r="K324" i="1"/>
  <c r="V3609" i="1"/>
  <c r="X3609" i="1" s="1"/>
  <c r="X3613" i="1" s="1"/>
  <c r="X3614" i="1" s="1"/>
  <c r="C810" i="55" s="1"/>
  <c r="X3592" i="1"/>
  <c r="X3596" i="1" s="1"/>
  <c r="X3597" i="1" s="1"/>
  <c r="C809" i="55" s="1"/>
  <c r="P626" i="1"/>
  <c r="R626" i="1" s="1"/>
  <c r="X3646" i="1"/>
  <c r="X3648" i="1" s="1"/>
  <c r="K1356" i="1"/>
  <c r="L1338" i="1" s="1"/>
  <c r="C396" i="55"/>
  <c r="K2384" i="1"/>
  <c r="K2391" i="1" s="1"/>
  <c r="K2393" i="1" s="1"/>
  <c r="C674" i="55" s="1"/>
  <c r="AU204" i="1"/>
  <c r="AV204" i="1" s="1"/>
  <c r="AR204" i="1"/>
  <c r="AS205" i="1"/>
  <c r="K203" i="1"/>
  <c r="K205" i="1" s="1"/>
  <c r="C45" i="55" s="1"/>
  <c r="P3114" i="27"/>
  <c r="K3114" i="27"/>
  <c r="K3118" i="27" s="1"/>
  <c r="W545" i="1"/>
  <c r="AC545" i="1" s="1"/>
  <c r="AJ545" i="1" s="1"/>
  <c r="J546" i="1"/>
  <c r="F133" i="25"/>
  <c r="D134" i="25"/>
  <c r="D299" i="25"/>
  <c r="F299" i="25" s="1"/>
  <c r="K3092" i="27"/>
  <c r="L3093" i="27"/>
  <c r="L3081" i="27"/>
  <c r="K3080" i="27"/>
  <c r="K2205" i="27" s="1"/>
  <c r="K3105" i="27"/>
  <c r="K2206" i="27" s="1"/>
  <c r="L3106" i="27"/>
  <c r="AU101" i="1"/>
  <c r="AV101" i="1" s="1"/>
  <c r="C438" i="55"/>
  <c r="C696" i="55"/>
  <c r="F618" i="25"/>
  <c r="F628" i="25" s="1"/>
  <c r="F630" i="25" s="1"/>
  <c r="C876" i="55" s="1"/>
  <c r="D654" i="25"/>
  <c r="X3157" i="1"/>
  <c r="X3167" i="1" s="1"/>
  <c r="X3169" i="1" s="1"/>
  <c r="C879" i="55" s="1"/>
  <c r="R1123" i="1"/>
  <c r="R1125" i="1" s="1"/>
  <c r="C1435" i="55" s="1"/>
  <c r="I2937" i="1"/>
  <c r="K2937" i="1" s="1"/>
  <c r="K2940" i="1" s="1"/>
  <c r="K2941" i="1" s="1"/>
  <c r="C577" i="55" s="1"/>
  <c r="K2916" i="1"/>
  <c r="C573" i="55"/>
  <c r="Y324" i="1"/>
  <c r="X325" i="1"/>
  <c r="C233" i="55"/>
  <c r="I538" i="1"/>
  <c r="K538" i="1" s="1"/>
  <c r="P1259" i="1"/>
  <c r="R1217" i="1"/>
  <c r="AQ390" i="1"/>
  <c r="AS390" i="1" s="1"/>
  <c r="AS397" i="1" s="1"/>
  <c r="AS399" i="1" s="1"/>
  <c r="AS401" i="1" s="1"/>
  <c r="AS402" i="1" s="1"/>
  <c r="AS403" i="1" s="1"/>
  <c r="AS404" i="1" s="1"/>
  <c r="AS405" i="1" s="1"/>
  <c r="AS406" i="1" s="1"/>
  <c r="AS407" i="1" s="1"/>
  <c r="AG390" i="1"/>
  <c r="AG397" i="1" s="1"/>
  <c r="AG399" i="1" s="1"/>
  <c r="AE404" i="1" s="1"/>
  <c r="AG404" i="1" s="1"/>
  <c r="AG408" i="1" s="1"/>
  <c r="AG410" i="1" s="1"/>
  <c r="AE426" i="1"/>
  <c r="AG426" i="1" s="1"/>
  <c r="AG433" i="1" s="1"/>
  <c r="AG435" i="1" s="1"/>
  <c r="AE441" i="1" s="1"/>
  <c r="AG441" i="1" s="1"/>
  <c r="AG445" i="1" s="1"/>
  <c r="AG447" i="1" s="1"/>
  <c r="AG449" i="1" s="1"/>
  <c r="K437" i="1"/>
  <c r="C206" i="55"/>
  <c r="C667" i="55"/>
  <c r="F16" i="79" s="1"/>
  <c r="C333" i="55"/>
  <c r="C666" i="55"/>
  <c r="L369" i="1"/>
  <c r="J369" i="1"/>
  <c r="C563" i="55"/>
  <c r="K370" i="1"/>
  <c r="L370" i="1" s="1"/>
  <c r="P598" i="1"/>
  <c r="AG324" i="1"/>
  <c r="C56" i="55"/>
  <c r="AG379" i="1"/>
  <c r="AH369" i="1"/>
  <c r="C735" i="55"/>
  <c r="C733" i="55"/>
  <c r="C341" i="55"/>
  <c r="F18" i="79" s="1"/>
  <c r="P629" i="1"/>
  <c r="R629" i="1" s="1"/>
  <c r="C643" i="55"/>
  <c r="I631" i="1"/>
  <c r="K631" i="1" s="1"/>
  <c r="X1346" i="1"/>
  <c r="X1348" i="1" s="1"/>
  <c r="C856" i="55" s="1"/>
  <c r="AE337" i="1"/>
  <c r="AG337" i="1" s="1"/>
  <c r="AG344" i="1" s="1"/>
  <c r="AG346" i="1" s="1"/>
  <c r="AG348" i="1" s="1"/>
  <c r="X337" i="1"/>
  <c r="X344" i="1" s="1"/>
  <c r="X346" i="1" s="1"/>
  <c r="X348" i="1" s="1"/>
  <c r="V764" i="1"/>
  <c r="X764" i="1" s="1"/>
  <c r="X770" i="1" s="1"/>
  <c r="X771" i="1" s="1"/>
  <c r="X773" i="1" s="1"/>
  <c r="X774" i="1" s="1"/>
  <c r="X775" i="1" s="1"/>
  <c r="X777" i="1" s="1"/>
  <c r="X778" i="1" s="1"/>
  <c r="X779" i="1" s="1"/>
  <c r="X780" i="1" s="1"/>
  <c r="X781" i="1" s="1"/>
  <c r="X782" i="1" s="1"/>
  <c r="X783" i="1" s="1"/>
  <c r="X784" i="1" s="1"/>
  <c r="D43" i="50"/>
  <c r="X678" i="1"/>
  <c r="X684" i="1" s="1"/>
  <c r="X685" i="1" s="1"/>
  <c r="V732" i="1"/>
  <c r="X732" i="1" s="1"/>
  <c r="X738" i="1" s="1"/>
  <c r="X739" i="1" s="1"/>
  <c r="C858" i="55"/>
  <c r="X1300" i="1"/>
  <c r="X1307" i="1" s="1"/>
  <c r="X1309" i="1" s="1"/>
  <c r="X1310" i="1" s="1"/>
  <c r="X1311" i="1" s="1"/>
  <c r="X1312" i="1" s="1"/>
  <c r="X1313" i="1" s="1"/>
  <c r="X1314" i="1" s="1"/>
  <c r="W1310" i="1" s="1"/>
  <c r="W1311" i="1" s="1"/>
  <c r="V1320" i="1"/>
  <c r="X1320" i="1" s="1"/>
  <c r="X1327" i="1" s="1"/>
  <c r="X1329" i="1" s="1"/>
  <c r="X368" i="1"/>
  <c r="C387" i="55"/>
  <c r="C679" i="55"/>
  <c r="X529" i="1"/>
  <c r="X534" i="1" s="1"/>
  <c r="X536" i="1" s="1"/>
  <c r="V538" i="1" s="1"/>
  <c r="X538" i="1" s="1"/>
  <c r="V539" i="1" s="1"/>
  <c r="X539" i="1" s="1"/>
  <c r="V540" i="1" s="1"/>
  <c r="X540" i="1" s="1"/>
  <c r="V541" i="1" s="1"/>
  <c r="X541" i="1" s="1"/>
  <c r="V542" i="1" s="1"/>
  <c r="X542" i="1" s="1"/>
  <c r="V543" i="1" s="1"/>
  <c r="X543" i="1" s="1"/>
  <c r="V544" i="1" s="1"/>
  <c r="X544" i="1" s="1"/>
  <c r="V545" i="1" s="1"/>
  <c r="X545" i="1" s="1"/>
  <c r="V546" i="1" s="1"/>
  <c r="V553" i="1"/>
  <c r="X553" i="1" s="1"/>
  <c r="X558" i="1" s="1"/>
  <c r="X560" i="1" s="1"/>
  <c r="V562" i="1" s="1"/>
  <c r="X562" i="1" s="1"/>
  <c r="V563" i="1" s="1"/>
  <c r="X563" i="1" s="1"/>
  <c r="V564" i="1" s="1"/>
  <c r="X564" i="1" s="1"/>
  <c r="V565" i="1" s="1"/>
  <c r="X565" i="1" s="1"/>
  <c r="V566" i="1" s="1"/>
  <c r="X566" i="1" s="1"/>
  <c r="L348" i="1"/>
  <c r="C118" i="55"/>
  <c r="K349" i="1"/>
  <c r="C181" i="55"/>
  <c r="X436" i="1"/>
  <c r="C246" i="55"/>
  <c r="I561" i="1"/>
  <c r="K561" i="1" s="1"/>
  <c r="D106" i="32"/>
  <c r="F106" i="32" s="1"/>
  <c r="F112" i="32" s="1"/>
  <c r="F113" i="32" s="1"/>
  <c r="F43" i="32"/>
  <c r="C1427" i="55"/>
  <c r="C736" i="55"/>
  <c r="C665" i="55"/>
  <c r="F17" i="79" s="1"/>
  <c r="C334" i="55"/>
  <c r="C332" i="55"/>
  <c r="P285" i="1"/>
  <c r="R285" i="1" s="1"/>
  <c r="R290" i="1" s="1"/>
  <c r="R292" i="1" s="1"/>
  <c r="X403" i="1"/>
  <c r="C130" i="55"/>
  <c r="AB553" i="1"/>
  <c r="AD529" i="1"/>
  <c r="AD534" i="1" s="1"/>
  <c r="AD536" i="1" s="1"/>
  <c r="AB538" i="1" s="1"/>
  <c r="AD538" i="1" s="1"/>
  <c r="K471" i="1"/>
  <c r="C219" i="55"/>
  <c r="Z708" i="1"/>
  <c r="X714" i="1"/>
  <c r="I1990" i="1"/>
  <c r="C1432" i="55"/>
  <c r="C561" i="55"/>
  <c r="AD1190" i="1"/>
  <c r="AD1195" i="1" s="1"/>
  <c r="AD1197" i="1" s="1"/>
  <c r="AD1198" i="1" s="1"/>
  <c r="AI1190" i="1"/>
  <c r="AK1190" i="1" s="1"/>
  <c r="AK1195" i="1" s="1"/>
  <c r="AK1197" i="1" s="1"/>
  <c r="AK1198" i="1" s="1"/>
  <c r="K325" i="1"/>
  <c r="L324" i="1"/>
  <c r="J403" i="1"/>
  <c r="K404" i="1"/>
  <c r="C168" i="55"/>
  <c r="C65" i="55"/>
  <c r="K289" i="1"/>
  <c r="K825" i="1"/>
  <c r="C71" i="55"/>
  <c r="R1186" i="1"/>
  <c r="R1187" i="1" s="1"/>
  <c r="C520" i="55"/>
  <c r="C523" i="55"/>
  <c r="R1160" i="1"/>
  <c r="K3921" i="1"/>
  <c r="K3933" i="1" s="1"/>
  <c r="C934" i="55" s="1"/>
  <c r="I3939" i="1"/>
  <c r="C264" i="55"/>
  <c r="I661" i="1"/>
  <c r="K661" i="1" s="1"/>
  <c r="K1172" i="11"/>
  <c r="K1155" i="11"/>
  <c r="N3396" i="27"/>
  <c r="N3400" i="27" s="1"/>
  <c r="O566" i="11"/>
  <c r="N569" i="11"/>
  <c r="AS166" i="1"/>
  <c r="AQ181" i="1"/>
  <c r="AS181" i="1" s="1"/>
  <c r="R288" i="11"/>
  <c r="C700" i="55" s="1"/>
  <c r="S289" i="11"/>
  <c r="AU116" i="1"/>
  <c r="AV116" i="1" s="1"/>
  <c r="AS118" i="1"/>
  <c r="AU135" i="1"/>
  <c r="AV135" i="1" s="1"/>
  <c r="AS141" i="1"/>
  <c r="K1050" i="11"/>
  <c r="K1034" i="11"/>
  <c r="O585" i="11"/>
  <c r="O588" i="11" s="1"/>
  <c r="N588" i="11"/>
  <c r="I815" i="11"/>
  <c r="K815" i="11" s="1"/>
  <c r="K819" i="11" s="1"/>
  <c r="L819" i="11" s="1"/>
  <c r="K784" i="11"/>
  <c r="K788" i="11" s="1"/>
  <c r="I3614" i="27"/>
  <c r="L1020" i="11"/>
  <c r="L1018" i="11"/>
  <c r="K1019" i="11"/>
  <c r="AU102" i="1"/>
  <c r="AV102" i="1" s="1"/>
  <c r="C541" i="55"/>
  <c r="AS103" i="1"/>
  <c r="C720" i="55"/>
  <c r="F659" i="25"/>
  <c r="D695" i="25"/>
  <c r="F695" i="25" s="1"/>
  <c r="I832" i="11"/>
  <c r="I842" i="11"/>
  <c r="K842" i="11" s="1"/>
  <c r="C1488" i="55"/>
  <c r="AU149" i="1"/>
  <c r="AV149" i="1" s="1"/>
  <c r="R302" i="11"/>
  <c r="C701" i="55" s="1"/>
  <c r="S303" i="11"/>
  <c r="L1336" i="1" l="1"/>
  <c r="R1992" i="1"/>
  <c r="R635" i="1"/>
  <c r="K1364" i="1"/>
  <c r="K1366" i="1" s="1"/>
  <c r="K1056" i="11"/>
  <c r="AD553" i="1"/>
  <c r="AD558" i="1" s="1"/>
  <c r="AD560" i="1" s="1"/>
  <c r="P2348" i="1" s="1"/>
  <c r="R2348" i="1" s="1"/>
  <c r="R2351" i="1" s="1"/>
  <c r="C708" i="55" s="1"/>
  <c r="AR205" i="1"/>
  <c r="AS206" i="1"/>
  <c r="AU205" i="1"/>
  <c r="AV205" i="1" s="1"/>
  <c r="C323" i="55"/>
  <c r="I1782" i="1"/>
  <c r="K1782" i="1" s="1"/>
  <c r="K1791" i="1" s="1"/>
  <c r="C372" i="55" s="1"/>
  <c r="J547" i="1"/>
  <c r="W546" i="1"/>
  <c r="AC546" i="1" s="1"/>
  <c r="AJ546" i="1" s="1"/>
  <c r="D300" i="25"/>
  <c r="F300" i="25" s="1"/>
  <c r="D135" i="25"/>
  <c r="F134" i="25"/>
  <c r="L3120" i="27"/>
  <c r="K3119" i="27"/>
  <c r="R3114" i="27"/>
  <c r="R3118" i="27" s="1"/>
  <c r="P3128" i="27"/>
  <c r="R3128" i="27" s="1"/>
  <c r="R3132" i="27" s="1"/>
  <c r="R3133" i="27" s="1"/>
  <c r="F654" i="25"/>
  <c r="F664" i="25" s="1"/>
  <c r="F666" i="25" s="1"/>
  <c r="C877" i="55" s="1"/>
  <c r="D690" i="25"/>
  <c r="F690" i="25" s="1"/>
  <c r="F700" i="25" s="1"/>
  <c r="F702" i="25" s="1"/>
  <c r="C878" i="55" s="1"/>
  <c r="J373" i="1"/>
  <c r="AD1199" i="1"/>
  <c r="C821" i="55"/>
  <c r="X715" i="1"/>
  <c r="Z714" i="1"/>
  <c r="C471" i="55"/>
  <c r="AB539" i="1"/>
  <c r="AD539" i="1" s="1"/>
  <c r="G113" i="32"/>
  <c r="G115" i="32" s="1"/>
  <c r="G116" i="32" s="1"/>
  <c r="G117" i="32" s="1"/>
  <c r="F115" i="32"/>
  <c r="F116" i="32" s="1"/>
  <c r="F117" i="32" s="1"/>
  <c r="Y685" i="1"/>
  <c r="Y687" i="1" s="1"/>
  <c r="Y688" i="1" s="1"/>
  <c r="Y689" i="1" s="1"/>
  <c r="X687" i="1"/>
  <c r="X688" i="1" s="1"/>
  <c r="X689" i="1" s="1"/>
  <c r="X349" i="1"/>
  <c r="C85" i="55"/>
  <c r="C857" i="55"/>
  <c r="P612" i="1"/>
  <c r="R612" i="1" s="1"/>
  <c r="R618" i="1" s="1"/>
  <c r="R598" i="1"/>
  <c r="R604" i="1" s="1"/>
  <c r="J370" i="1"/>
  <c r="K371" i="1"/>
  <c r="C564" i="55"/>
  <c r="K438" i="1"/>
  <c r="C207" i="55"/>
  <c r="T1217" i="1"/>
  <c r="T1229" i="1" s="1"/>
  <c r="T1231" i="1" s="1"/>
  <c r="R1229" i="1"/>
  <c r="R1231" i="1" s="1"/>
  <c r="Y325" i="1"/>
  <c r="X326" i="1"/>
  <c r="X327" i="1" s="1"/>
  <c r="X328" i="1" s="1"/>
  <c r="C169" i="55"/>
  <c r="J404" i="1"/>
  <c r="K405" i="1"/>
  <c r="AK1199" i="1"/>
  <c r="C826" i="55"/>
  <c r="K1990" i="1"/>
  <c r="K1999" i="1" s="1"/>
  <c r="P1990" i="1"/>
  <c r="K472" i="1"/>
  <c r="L471" i="1"/>
  <c r="C220" i="55"/>
  <c r="C131" i="55"/>
  <c r="X404" i="1"/>
  <c r="H43" i="32"/>
  <c r="F49" i="32"/>
  <c r="C182" i="55"/>
  <c r="X437" i="1"/>
  <c r="X369" i="1"/>
  <c r="X370" i="1" s="1"/>
  <c r="X371" i="1" s="1"/>
  <c r="X372" i="1" s="1"/>
  <c r="X741" i="1"/>
  <c r="X742" i="1" s="1"/>
  <c r="X743" i="1" s="1"/>
  <c r="Y739" i="1"/>
  <c r="Y741" i="1" s="1"/>
  <c r="Y742" i="1" s="1"/>
  <c r="Y743" i="1" s="1"/>
  <c r="AI529" i="1" s="1"/>
  <c r="AH324" i="1"/>
  <c r="AG325" i="1"/>
  <c r="C574" i="55"/>
  <c r="I2947" i="1"/>
  <c r="K2947" i="1" s="1"/>
  <c r="K2950" i="1" s="1"/>
  <c r="K2951" i="1" s="1"/>
  <c r="C578" i="55" s="1"/>
  <c r="K2917" i="1"/>
  <c r="I2956" i="1" s="1"/>
  <c r="K2956" i="1" s="1"/>
  <c r="K2959" i="1" s="1"/>
  <c r="K2960" i="1" s="1"/>
  <c r="K326" i="1"/>
  <c r="L325" i="1"/>
  <c r="F43" i="50"/>
  <c r="F49" i="50" s="1"/>
  <c r="F50" i="50" s="1"/>
  <c r="D106" i="50"/>
  <c r="F106" i="50" s="1"/>
  <c r="F112" i="50" s="1"/>
  <c r="F113" i="50" s="1"/>
  <c r="C137" i="55"/>
  <c r="AG412" i="1"/>
  <c r="C234" i="55"/>
  <c r="I539" i="1"/>
  <c r="K539" i="1" s="1"/>
  <c r="I562" i="1"/>
  <c r="K562" i="1" s="1"/>
  <c r="C247" i="55"/>
  <c r="C119" i="55"/>
  <c r="K350" i="1"/>
  <c r="L349" i="1"/>
  <c r="C91" i="55"/>
  <c r="AG349" i="1"/>
  <c r="I632" i="1"/>
  <c r="K632" i="1" s="1"/>
  <c r="C644" i="55"/>
  <c r="AH370" i="1"/>
  <c r="AG380" i="1"/>
  <c r="C335" i="55"/>
  <c r="AG450" i="1"/>
  <c r="C187" i="55"/>
  <c r="V1239" i="1"/>
  <c r="R1259" i="1"/>
  <c r="R1271" i="1" s="1"/>
  <c r="R1273" i="1" s="1"/>
  <c r="D15" i="79" s="1"/>
  <c r="P1236" i="1"/>
  <c r="R1236" i="1" s="1"/>
  <c r="R1248" i="1" s="1"/>
  <c r="R1250" i="1" s="1"/>
  <c r="C737" i="55" s="1"/>
  <c r="K826" i="1"/>
  <c r="C72" i="55"/>
  <c r="I662" i="1"/>
  <c r="K662" i="1" s="1"/>
  <c r="C265" i="55"/>
  <c r="K290" i="1"/>
  <c r="C66" i="55"/>
  <c r="K3939" i="1"/>
  <c r="K3951" i="1" s="1"/>
  <c r="I3955" i="1"/>
  <c r="C524" i="55"/>
  <c r="R1161" i="1"/>
  <c r="C542" i="55"/>
  <c r="AS104" i="1"/>
  <c r="AS105" i="1" s="1"/>
  <c r="C544" i="55" s="1"/>
  <c r="AU103" i="1"/>
  <c r="AV103" i="1" s="1"/>
  <c r="AU141" i="1"/>
  <c r="AV141" i="1" s="1"/>
  <c r="AS143" i="1"/>
  <c r="K1187" i="11"/>
  <c r="K1191" i="11" s="1"/>
  <c r="K1192" i="11" s="1"/>
  <c r="K1176" i="11"/>
  <c r="K1177" i="11" s="1"/>
  <c r="C915" i="55"/>
  <c r="C1494" i="55"/>
  <c r="AU166" i="1"/>
  <c r="AV166" i="1" s="1"/>
  <c r="AS172" i="1"/>
  <c r="K1156" i="11"/>
  <c r="L1156" i="11" s="1"/>
  <c r="L1158" i="11"/>
  <c r="I805" i="11"/>
  <c r="L788" i="11"/>
  <c r="K1035" i="11"/>
  <c r="M1035" i="11"/>
  <c r="AU181" i="1"/>
  <c r="AV181" i="1" s="1"/>
  <c r="K832" i="11"/>
  <c r="K845" i="11" s="1"/>
  <c r="I3662" i="27"/>
  <c r="K3614" i="27"/>
  <c r="K3619" i="27" s="1"/>
  <c r="I3645" i="27"/>
  <c r="K3645" i="27" s="1"/>
  <c r="K3650" i="27" s="1"/>
  <c r="AS120" i="1"/>
  <c r="AU118" i="1"/>
  <c r="AV118" i="1" s="1"/>
  <c r="O569" i="11"/>
  <c r="O3396" i="27"/>
  <c r="O3400" i="27" s="1"/>
  <c r="C339" i="55" l="1"/>
  <c r="D20" i="79"/>
  <c r="C477" i="55"/>
  <c r="AB562" i="1"/>
  <c r="AD562" i="1" s="1"/>
  <c r="K1057" i="11"/>
  <c r="K1059" i="11" s="1"/>
  <c r="L1058" i="11"/>
  <c r="R1990" i="1"/>
  <c r="R2000" i="1" s="1"/>
  <c r="C870" i="55" s="1"/>
  <c r="AS207" i="1"/>
  <c r="AU206" i="1"/>
  <c r="AV206" i="1" s="1"/>
  <c r="AR206" i="1"/>
  <c r="J548" i="1"/>
  <c r="W548" i="1" s="1"/>
  <c r="AC548" i="1" s="1"/>
  <c r="AJ548" i="1" s="1"/>
  <c r="W547" i="1"/>
  <c r="AC547" i="1" s="1"/>
  <c r="AJ547" i="1" s="1"/>
  <c r="R3119" i="27"/>
  <c r="S3119" i="27"/>
  <c r="D301" i="25"/>
  <c r="F301" i="25" s="1"/>
  <c r="F309" i="25" s="1"/>
  <c r="F310" i="25" s="1"/>
  <c r="C773" i="55" s="1"/>
  <c r="D158" i="25"/>
  <c r="F158" i="25" s="1"/>
  <c r="F166" i="25" s="1"/>
  <c r="F167" i="25" s="1"/>
  <c r="C775" i="55" s="1"/>
  <c r="F135" i="25"/>
  <c r="F144" i="25" s="1"/>
  <c r="F145" i="25" s="1"/>
  <c r="C774" i="55" s="1"/>
  <c r="X546" i="1"/>
  <c r="V547" i="1" s="1"/>
  <c r="Y368" i="1"/>
  <c r="Z368" i="1" s="1"/>
  <c r="Y369" i="1"/>
  <c r="C324" i="55" s="1"/>
  <c r="Y370" i="1"/>
  <c r="X373" i="1"/>
  <c r="C138" i="55"/>
  <c r="AG413" i="1"/>
  <c r="C505" i="55"/>
  <c r="X745" i="1"/>
  <c r="K372" i="1"/>
  <c r="C565" i="55"/>
  <c r="J371" i="1"/>
  <c r="K373" i="1"/>
  <c r="C328" i="55" s="1"/>
  <c r="E9" i="32"/>
  <c r="I2342" i="1"/>
  <c r="K2342" i="1" s="1"/>
  <c r="K2344" i="1" s="1"/>
  <c r="C854" i="55" s="1"/>
  <c r="E9" i="50"/>
  <c r="F9" i="50" s="1"/>
  <c r="F13" i="50" s="1"/>
  <c r="F14" i="50" s="1"/>
  <c r="C878" i="1"/>
  <c r="AB465" i="1"/>
  <c r="AD465" i="1" s="1"/>
  <c r="AD469" i="1" s="1"/>
  <c r="AD471" i="1" s="1"/>
  <c r="AB477" i="1" s="1"/>
  <c r="AD477" i="1" s="1"/>
  <c r="AD483" i="1" s="1"/>
  <c r="AD485" i="1" s="1"/>
  <c r="AB487" i="1" s="1"/>
  <c r="AD487" i="1" s="1"/>
  <c r="C822" i="55"/>
  <c r="AD1200" i="1"/>
  <c r="AB1243" i="1"/>
  <c r="X1239" i="1"/>
  <c r="X1251" i="1" s="1"/>
  <c r="X1253" i="1" s="1"/>
  <c r="AG381" i="1"/>
  <c r="AG382" i="1"/>
  <c r="C325" i="55" s="1"/>
  <c r="C92" i="55"/>
  <c r="AG350" i="1"/>
  <c r="C478" i="55"/>
  <c r="AB563" i="1"/>
  <c r="AD563" i="1" s="1"/>
  <c r="G50" i="50"/>
  <c r="G52" i="50" s="1"/>
  <c r="G53" i="50" s="1"/>
  <c r="G54" i="50" s="1"/>
  <c r="E73" i="50" s="1"/>
  <c r="F73" i="50" s="1"/>
  <c r="F77" i="50" s="1"/>
  <c r="F78" i="50" s="1"/>
  <c r="F81" i="50" s="1"/>
  <c r="C903" i="55" s="1"/>
  <c r="F52" i="50"/>
  <c r="F53" i="50" s="1"/>
  <c r="F54" i="50" s="1"/>
  <c r="F56" i="50" s="1"/>
  <c r="F58" i="50" s="1"/>
  <c r="F60" i="50" s="1"/>
  <c r="AI553" i="1"/>
  <c r="AK529" i="1"/>
  <c r="AK534" i="1" s="1"/>
  <c r="AK536" i="1" s="1"/>
  <c r="AI538" i="1" s="1"/>
  <c r="AK538" i="1" s="1"/>
  <c r="H49" i="32"/>
  <c r="F50" i="32"/>
  <c r="C680" i="55"/>
  <c r="C388" i="55"/>
  <c r="C739" i="55"/>
  <c r="S1231" i="1"/>
  <c r="C1428" i="55"/>
  <c r="I2790" i="1"/>
  <c r="K2790" i="1" s="1"/>
  <c r="K2797" i="1" s="1"/>
  <c r="K2799" i="1" s="1"/>
  <c r="C1459" i="55" s="1"/>
  <c r="C513" i="55"/>
  <c r="X691" i="1"/>
  <c r="C472" i="55"/>
  <c r="AB540" i="1"/>
  <c r="AD540" i="1" s="1"/>
  <c r="C1429" i="55"/>
  <c r="F15" i="79" s="1"/>
  <c r="C738" i="55"/>
  <c r="C645" i="55"/>
  <c r="I633" i="1"/>
  <c r="K633" i="1" s="1"/>
  <c r="C646" i="55" s="1"/>
  <c r="C120" i="55"/>
  <c r="L350" i="1"/>
  <c r="K351" i="1"/>
  <c r="C235" i="55"/>
  <c r="I540" i="1"/>
  <c r="K540" i="1" s="1"/>
  <c r="F115" i="50"/>
  <c r="F116" i="50" s="1"/>
  <c r="F117" i="50" s="1"/>
  <c r="G113" i="50"/>
  <c r="G115" i="50" s="1"/>
  <c r="G116" i="50" s="1"/>
  <c r="G117" i="50" s="1"/>
  <c r="E133" i="50" s="1"/>
  <c r="F133" i="50" s="1"/>
  <c r="F137" i="50" s="1"/>
  <c r="F138" i="50" s="1"/>
  <c r="F141" i="50" s="1"/>
  <c r="C904" i="55" s="1"/>
  <c r="C170" i="55"/>
  <c r="K406" i="1"/>
  <c r="C208" i="55"/>
  <c r="K439" i="1"/>
  <c r="C209" i="55" s="1"/>
  <c r="C86" i="55"/>
  <c r="X350" i="1"/>
  <c r="X717" i="1"/>
  <c r="X718" i="1" s="1"/>
  <c r="X719" i="1" s="1"/>
  <c r="Z715" i="1"/>
  <c r="Z717" i="1" s="1"/>
  <c r="Z718" i="1" s="1"/>
  <c r="Z719" i="1" s="1"/>
  <c r="P2107" i="1" s="1"/>
  <c r="R2107" i="1" s="1"/>
  <c r="R2110" i="1" s="1"/>
  <c r="AG451" i="1"/>
  <c r="C188" i="55"/>
  <c r="C248" i="55"/>
  <c r="I563" i="1"/>
  <c r="K563" i="1" s="1"/>
  <c r="K327" i="1"/>
  <c r="K328" i="1" s="1"/>
  <c r="M326" i="1"/>
  <c r="AH326" i="1"/>
  <c r="AH325" i="1"/>
  <c r="AG326" i="1"/>
  <c r="AG327" i="1" s="1"/>
  <c r="AG328" i="1" s="1"/>
  <c r="X438" i="1"/>
  <c r="C183" i="55"/>
  <c r="C132" i="55"/>
  <c r="X405" i="1"/>
  <c r="C221" i="55"/>
  <c r="L472" i="1"/>
  <c r="K473" i="1"/>
  <c r="AK1200" i="1"/>
  <c r="C827" i="55"/>
  <c r="I663" i="1"/>
  <c r="K663" i="1" s="1"/>
  <c r="C266" i="55"/>
  <c r="C525" i="55"/>
  <c r="R1162" i="1"/>
  <c r="C931" i="55"/>
  <c r="L3951" i="1"/>
  <c r="C67" i="55"/>
  <c r="K291" i="1"/>
  <c r="K827" i="1"/>
  <c r="C73" i="55"/>
  <c r="K3955" i="1"/>
  <c r="K3967" i="1" s="1"/>
  <c r="C933" i="55" s="1"/>
  <c r="I3972" i="1"/>
  <c r="K3972" i="1" s="1"/>
  <c r="K3984" i="1" s="1"/>
  <c r="C932" i="55" s="1"/>
  <c r="AU120" i="1"/>
  <c r="AV120" i="1" s="1"/>
  <c r="AS121" i="1"/>
  <c r="AT120" i="1"/>
  <c r="L3619" i="27"/>
  <c r="I3636" i="27"/>
  <c r="K3636" i="27" s="1"/>
  <c r="K805" i="11"/>
  <c r="K807" i="11" s="1"/>
  <c r="I3635" i="27"/>
  <c r="K3635" i="27" s="1"/>
  <c r="AU172" i="1"/>
  <c r="AV172" i="1" s="1"/>
  <c r="AS174" i="1"/>
  <c r="I3669" i="27"/>
  <c r="K3669" i="27" s="1"/>
  <c r="K3662" i="27"/>
  <c r="C1495" i="55"/>
  <c r="C916" i="55"/>
  <c r="AU104" i="1"/>
  <c r="AV104" i="1" s="1"/>
  <c r="C543" i="55"/>
  <c r="AQ148" i="1"/>
  <c r="AU143" i="1"/>
  <c r="AV143" i="1" s="1"/>
  <c r="F20" i="79" l="1"/>
  <c r="F70" i="79" s="1"/>
  <c r="C919" i="55"/>
  <c r="C1496" i="55"/>
  <c r="AK553" i="1"/>
  <c r="AK558" i="1" s="1"/>
  <c r="AK560" i="1" s="1"/>
  <c r="C464" i="55" s="1"/>
  <c r="AU207" i="1"/>
  <c r="AV207" i="1" s="1"/>
  <c r="AR207" i="1"/>
  <c r="AS208" i="1"/>
  <c r="X547" i="1"/>
  <c r="V548" i="1" s="1"/>
  <c r="X548" i="1" s="1"/>
  <c r="V549" i="1" s="1"/>
  <c r="X549" i="1" s="1"/>
  <c r="V550" i="1" s="1"/>
  <c r="X550" i="1" s="1"/>
  <c r="L807" i="11"/>
  <c r="K2290" i="1"/>
  <c r="C448" i="55" s="1"/>
  <c r="F17" i="50"/>
  <c r="C902" i="55" s="1"/>
  <c r="X721" i="1"/>
  <c r="C497" i="55"/>
  <c r="C514" i="55"/>
  <c r="X692" i="1"/>
  <c r="F52" i="32"/>
  <c r="F53" i="32" s="1"/>
  <c r="F54" i="32" s="1"/>
  <c r="F56" i="32" s="1"/>
  <c r="F58" i="32" s="1"/>
  <c r="F60" i="32" s="1"/>
  <c r="H50" i="32"/>
  <c r="H52" i="32" s="1"/>
  <c r="H53" i="32" s="1"/>
  <c r="H54" i="32" s="1"/>
  <c r="AG351" i="1"/>
  <c r="C93" i="55"/>
  <c r="C484" i="55"/>
  <c r="AB488" i="1"/>
  <c r="AD488" i="1" s="1"/>
  <c r="E173" i="32"/>
  <c r="E211" i="32" s="1"/>
  <c r="F9" i="32"/>
  <c r="F13" i="32" s="1"/>
  <c r="F14" i="32" s="1"/>
  <c r="F17" i="32" s="1"/>
  <c r="E73" i="32"/>
  <c r="J372" i="1"/>
  <c r="C566" i="55"/>
  <c r="L473" i="1"/>
  <c r="K474" i="1"/>
  <c r="C249" i="55"/>
  <c r="I564" i="1"/>
  <c r="K564" i="1" s="1"/>
  <c r="P2447" i="1"/>
  <c r="R2447" i="1" s="1"/>
  <c r="R2449" i="1" s="1"/>
  <c r="C855" i="55" s="1"/>
  <c r="V465" i="1"/>
  <c r="X465" i="1" s="1"/>
  <c r="X469" i="1" s="1"/>
  <c r="X471" i="1" s="1"/>
  <c r="V477" i="1" s="1"/>
  <c r="X477" i="1" s="1"/>
  <c r="X483" i="1" s="1"/>
  <c r="X485" i="1" s="1"/>
  <c r="V487" i="1" s="1"/>
  <c r="X487" i="1" s="1"/>
  <c r="P2094" i="1"/>
  <c r="I878" i="1"/>
  <c r="K352" i="1"/>
  <c r="C121" i="55"/>
  <c r="AI562" i="1"/>
  <c r="AK562" i="1" s="1"/>
  <c r="C139" i="55"/>
  <c r="AG414" i="1"/>
  <c r="C828" i="55"/>
  <c r="AK1201" i="1"/>
  <c r="C133" i="55"/>
  <c r="X406" i="1"/>
  <c r="AG452" i="1"/>
  <c r="C189" i="55"/>
  <c r="AB541" i="1"/>
  <c r="AD541" i="1" s="1"/>
  <c r="C473" i="55"/>
  <c r="C458" i="55"/>
  <c r="AI539" i="1"/>
  <c r="AK539" i="1" s="1"/>
  <c r="C479" i="55"/>
  <c r="AB564" i="1"/>
  <c r="AD564" i="1" s="1"/>
  <c r="C823" i="55"/>
  <c r="AD1201" i="1"/>
  <c r="C184" i="55"/>
  <c r="X439" i="1"/>
  <c r="C185" i="55" s="1"/>
  <c r="X351" i="1"/>
  <c r="C87" i="55"/>
  <c r="K407" i="1"/>
  <c r="C171" i="55"/>
  <c r="I541" i="1"/>
  <c r="K541" i="1" s="1"/>
  <c r="C236" i="55"/>
  <c r="AD1243" i="1"/>
  <c r="AD1256" i="1" s="1"/>
  <c r="AD1258" i="1" s="1"/>
  <c r="AB1215" i="1"/>
  <c r="AD1215" i="1" s="1"/>
  <c r="AD1228" i="1" s="1"/>
  <c r="AD1230" i="1" s="1"/>
  <c r="C900" i="55" s="1"/>
  <c r="C506" i="55"/>
  <c r="X746" i="1"/>
  <c r="C74" i="55"/>
  <c r="K828" i="1"/>
  <c r="K292" i="1"/>
  <c r="C69" i="55" s="1"/>
  <c r="C68" i="55"/>
  <c r="I664" i="1"/>
  <c r="K664" i="1" s="1"/>
  <c r="C267" i="55"/>
  <c r="C526" i="55"/>
  <c r="R1163" i="1"/>
  <c r="K3676" i="27"/>
  <c r="M3676" i="27" s="1"/>
  <c r="AU174" i="1"/>
  <c r="AV174" i="1" s="1"/>
  <c r="AU121" i="1"/>
  <c r="AV121" i="1" s="1"/>
  <c r="AS122" i="1"/>
  <c r="AT121" i="1"/>
  <c r="K3638" i="27"/>
  <c r="AQ180" i="1"/>
  <c r="AS180" i="1" s="1"/>
  <c r="AS148" i="1"/>
  <c r="F71" i="79" l="1"/>
  <c r="F72" i="79" s="1"/>
  <c r="AU208" i="1"/>
  <c r="AV208" i="1" s="1"/>
  <c r="AR208" i="1"/>
  <c r="X722" i="1"/>
  <c r="C498" i="55"/>
  <c r="C507" i="55"/>
  <c r="X747" i="1"/>
  <c r="AD1202" i="1"/>
  <c r="AD1203" i="1" s="1"/>
  <c r="AD1204" i="1" s="1"/>
  <c r="AD1205" i="1" s="1"/>
  <c r="AD1206" i="1" s="1"/>
  <c r="AD1207" i="1" s="1"/>
  <c r="AD1208" i="1" s="1"/>
  <c r="AD1209" i="1" s="1"/>
  <c r="C824" i="55"/>
  <c r="C459" i="55"/>
  <c r="AI540" i="1"/>
  <c r="AK540" i="1" s="1"/>
  <c r="AK1202" i="1"/>
  <c r="AK1203" i="1" s="1"/>
  <c r="AK1204" i="1" s="1"/>
  <c r="AK1205" i="1" s="1"/>
  <c r="AK1206" i="1" s="1"/>
  <c r="AK1207" i="1" s="1"/>
  <c r="C829" i="55"/>
  <c r="I860" i="1"/>
  <c r="K878" i="1"/>
  <c r="K890" i="1" s="1"/>
  <c r="V878" i="1"/>
  <c r="I894" i="1"/>
  <c r="K894" i="1" s="1"/>
  <c r="K906" i="1" s="1"/>
  <c r="I565" i="1"/>
  <c r="K565" i="1" s="1"/>
  <c r="I566" i="1" s="1"/>
  <c r="K566" i="1" s="1"/>
  <c r="I567" i="1" s="1"/>
  <c r="K567" i="1" s="1"/>
  <c r="I568" i="1" s="1"/>
  <c r="K568" i="1" s="1"/>
  <c r="I569" i="1" s="1"/>
  <c r="K569" i="1" s="1"/>
  <c r="I570" i="1" s="1"/>
  <c r="K570" i="1" s="1"/>
  <c r="I571" i="1" s="1"/>
  <c r="K571" i="1" s="1"/>
  <c r="I572" i="1" s="1"/>
  <c r="K572" i="1" s="1"/>
  <c r="C250" i="55"/>
  <c r="F211" i="32"/>
  <c r="F215" i="32" s="1"/>
  <c r="F216" i="32" s="1"/>
  <c r="F219" i="32" s="1"/>
  <c r="E254" i="32"/>
  <c r="F254" i="32" s="1"/>
  <c r="F258" i="32" s="1"/>
  <c r="F259" i="32" s="1"/>
  <c r="F262" i="32" s="1"/>
  <c r="F173" i="32"/>
  <c r="F177" i="32" s="1"/>
  <c r="F178" i="32" s="1"/>
  <c r="F181" i="32" s="1"/>
  <c r="AG352" i="1"/>
  <c r="C94" i="55"/>
  <c r="C740" i="55"/>
  <c r="C1431" i="55"/>
  <c r="C172" i="55"/>
  <c r="L407" i="1"/>
  <c r="L408" i="1" s="1"/>
  <c r="AB542" i="1"/>
  <c r="AD542" i="1" s="1"/>
  <c r="C474" i="55"/>
  <c r="L352" i="1"/>
  <c r="L353" i="1" s="1"/>
  <c r="L354" i="1" s="1"/>
  <c r="C122" i="55"/>
  <c r="C580" i="55"/>
  <c r="C584" i="55"/>
  <c r="C515" i="55"/>
  <c r="X693" i="1"/>
  <c r="C480" i="55"/>
  <c r="AB565" i="1"/>
  <c r="AD565" i="1" s="1"/>
  <c r="X407" i="1"/>
  <c r="C135" i="55" s="1"/>
  <c r="C134" i="55"/>
  <c r="C140" i="55"/>
  <c r="AG415" i="1"/>
  <c r="V488" i="1"/>
  <c r="X488" i="1" s="1"/>
  <c r="C490" i="55"/>
  <c r="L474" i="1"/>
  <c r="K475" i="1"/>
  <c r="E133" i="32"/>
  <c r="F133" i="32" s="1"/>
  <c r="F137" i="32" s="1"/>
  <c r="F138" i="32" s="1"/>
  <c r="F141" i="32" s="1"/>
  <c r="C582" i="55" s="1"/>
  <c r="F73" i="32"/>
  <c r="F77" i="32" s="1"/>
  <c r="F78" i="32" s="1"/>
  <c r="F81" i="32" s="1"/>
  <c r="C581" i="55" s="1"/>
  <c r="C237" i="55"/>
  <c r="I542" i="1"/>
  <c r="K542" i="1" s="1"/>
  <c r="C88" i="55"/>
  <c r="X352" i="1"/>
  <c r="C89" i="55" s="1"/>
  <c r="C190" i="55"/>
  <c r="AG453" i="1"/>
  <c r="AI563" i="1"/>
  <c r="AK563" i="1" s="1"/>
  <c r="C465" i="55"/>
  <c r="R2094" i="1"/>
  <c r="R2097" i="1" s="1"/>
  <c r="P2100" i="1"/>
  <c r="R2100" i="1" s="1"/>
  <c r="R2103" i="1" s="1"/>
  <c r="C485" i="55"/>
  <c r="AB489" i="1"/>
  <c r="AD489" i="1" s="1"/>
  <c r="K829" i="1"/>
  <c r="C75" i="55"/>
  <c r="R1164" i="1"/>
  <c r="C527" i="55"/>
  <c r="C268" i="55"/>
  <c r="I665" i="1"/>
  <c r="K665" i="1" s="1"/>
  <c r="I666" i="1" s="1"/>
  <c r="K666" i="1" s="1"/>
  <c r="I667" i="1" s="1"/>
  <c r="K667" i="1" s="1"/>
  <c r="I668" i="1" s="1"/>
  <c r="K668" i="1" s="1"/>
  <c r="I669" i="1" s="1"/>
  <c r="K669" i="1" s="1"/>
  <c r="I670" i="1" s="1"/>
  <c r="K670" i="1" s="1"/>
  <c r="I671" i="1" s="1"/>
  <c r="K671" i="1" s="1"/>
  <c r="L3638" i="27"/>
  <c r="K2212" i="27"/>
  <c r="AS123" i="1"/>
  <c r="AS125" i="1" s="1"/>
  <c r="AU122" i="1"/>
  <c r="AV122" i="1" s="1"/>
  <c r="AU180" i="1"/>
  <c r="AV180" i="1" s="1"/>
  <c r="AS184" i="1"/>
  <c r="AU148" i="1"/>
  <c r="AV148" i="1" s="1"/>
  <c r="AS152" i="1"/>
  <c r="F75" i="79" l="1"/>
  <c r="X723" i="1"/>
  <c r="C499" i="55"/>
  <c r="C191" i="55"/>
  <c r="AG454" i="1"/>
  <c r="I543" i="1"/>
  <c r="K543" i="1" s="1"/>
  <c r="C238" i="55"/>
  <c r="L475" i="1"/>
  <c r="K476" i="1"/>
  <c r="AG416" i="1"/>
  <c r="C141" i="55"/>
  <c r="C481" i="55"/>
  <c r="AB566" i="1"/>
  <c r="AD566" i="1" s="1"/>
  <c r="K860" i="1"/>
  <c r="K872" i="1" s="1"/>
  <c r="V860" i="1"/>
  <c r="X860" i="1" s="1"/>
  <c r="X872" i="1" s="1"/>
  <c r="P853" i="1"/>
  <c r="R853" i="1" s="1"/>
  <c r="R865" i="1" s="1"/>
  <c r="C603" i="55" s="1"/>
  <c r="I3300" i="1"/>
  <c r="K3300" i="1" s="1"/>
  <c r="K3312" i="1" s="1"/>
  <c r="C466" i="55"/>
  <c r="AI564" i="1"/>
  <c r="AK564" i="1" s="1"/>
  <c r="V489" i="1"/>
  <c r="X489" i="1" s="1"/>
  <c r="C491" i="55"/>
  <c r="C95" i="55"/>
  <c r="AG353" i="1"/>
  <c r="C602" i="55"/>
  <c r="K892" i="1"/>
  <c r="C286" i="55"/>
  <c r="L890" i="1"/>
  <c r="AI541" i="1"/>
  <c r="AK541" i="1" s="1"/>
  <c r="C460" i="55"/>
  <c r="C508" i="55"/>
  <c r="X748" i="1"/>
  <c r="Y747" i="1"/>
  <c r="AB490" i="1"/>
  <c r="AD490" i="1" s="1"/>
  <c r="C486" i="55"/>
  <c r="C516" i="55"/>
  <c r="X694" i="1"/>
  <c r="X878" i="1"/>
  <c r="X890" i="1" s="1"/>
  <c r="V894" i="1"/>
  <c r="X894" i="1" s="1"/>
  <c r="X906" i="1" s="1"/>
  <c r="C475" i="55"/>
  <c r="AB543" i="1"/>
  <c r="AD543" i="1" s="1"/>
  <c r="AB544" i="1" s="1"/>
  <c r="AD544" i="1" s="1"/>
  <c r="AB545" i="1" s="1"/>
  <c r="AD545" i="1" s="1"/>
  <c r="AB546" i="1" s="1"/>
  <c r="AD546" i="1" s="1"/>
  <c r="AB547" i="1" s="1"/>
  <c r="AD547" i="1" s="1"/>
  <c r="AB548" i="1" s="1"/>
  <c r="AD548" i="1" s="1"/>
  <c r="AB549" i="1" s="1"/>
  <c r="AD549" i="1" s="1"/>
  <c r="AB550" i="1" s="1"/>
  <c r="AD550" i="1" s="1"/>
  <c r="AJ550" i="1" s="1"/>
  <c r="C605" i="55"/>
  <c r="C287" i="55"/>
  <c r="R1165" i="1"/>
  <c r="C528" i="55"/>
  <c r="K830" i="1"/>
  <c r="C76" i="55"/>
  <c r="AS154" i="1"/>
  <c r="AU152" i="1"/>
  <c r="AV152" i="1" s="1"/>
  <c r="AU125" i="1"/>
  <c r="AV125" i="1" s="1"/>
  <c r="AS186" i="1"/>
  <c r="AU184" i="1"/>
  <c r="AV184" i="1" s="1"/>
  <c r="AS124" i="1"/>
  <c r="AU123" i="1"/>
  <c r="AV123" i="1" s="1"/>
  <c r="F76" i="79" l="1"/>
  <c r="F77" i="79" s="1"/>
  <c r="G79" i="79" s="1"/>
  <c r="X724" i="1"/>
  <c r="C500" i="55"/>
  <c r="C517" i="55"/>
  <c r="X695" i="1"/>
  <c r="X696" i="1" s="1"/>
  <c r="X697" i="1" s="1"/>
  <c r="X698" i="1" s="1"/>
  <c r="X699" i="1" s="1"/>
  <c r="X700" i="1" s="1"/>
  <c r="X701" i="1" s="1"/>
  <c r="X702" i="1" s="1"/>
  <c r="X703" i="1" s="1"/>
  <c r="C461" i="55"/>
  <c r="AI542" i="1"/>
  <c r="AK542" i="1" s="1"/>
  <c r="V490" i="1"/>
  <c r="X490" i="1" s="1"/>
  <c r="C492" i="55"/>
  <c r="C487" i="55"/>
  <c r="AB491" i="1"/>
  <c r="AD491" i="1" s="1"/>
  <c r="AB567" i="1"/>
  <c r="AD567" i="1" s="1"/>
  <c r="C482" i="55"/>
  <c r="L476" i="1"/>
  <c r="K477" i="1"/>
  <c r="AE454" i="1"/>
  <c r="AG455" i="1"/>
  <c r="C604" i="55"/>
  <c r="C288" i="55"/>
  <c r="C142" i="55"/>
  <c r="AG417" i="1"/>
  <c r="C239" i="55"/>
  <c r="I544" i="1"/>
  <c r="K544" i="1" s="1"/>
  <c r="X749" i="1"/>
  <c r="C509" i="55"/>
  <c r="AG354" i="1"/>
  <c r="C96" i="55"/>
  <c r="C467" i="55"/>
  <c r="AI565" i="1"/>
  <c r="AK565" i="1" s="1"/>
  <c r="R1166" i="1"/>
  <c r="C529" i="55"/>
  <c r="K831" i="1"/>
  <c r="C77" i="55"/>
  <c r="AU124" i="1"/>
  <c r="AV124" i="1" s="1"/>
  <c r="AS156" i="1"/>
  <c r="AT156" i="1" s="1"/>
  <c r="C546" i="55"/>
  <c r="AU154" i="1"/>
  <c r="AV154" i="1" s="1"/>
  <c r="AS188" i="1"/>
  <c r="AU186" i="1"/>
  <c r="AV186" i="1" s="1"/>
  <c r="X725" i="1" l="1"/>
  <c r="C501" i="55"/>
  <c r="Y749" i="1"/>
  <c r="Y750" i="1" s="1"/>
  <c r="C510" i="55"/>
  <c r="X750" i="1"/>
  <c r="V491" i="1"/>
  <c r="X491" i="1" s="1"/>
  <c r="C494" i="55" s="1"/>
  <c r="C493" i="55"/>
  <c r="C468" i="55"/>
  <c r="AI566" i="1"/>
  <c r="AK566" i="1" s="1"/>
  <c r="AG418" i="1"/>
  <c r="C143" i="55"/>
  <c r="AE455" i="1"/>
  <c r="AG456" i="1"/>
  <c r="AG355" i="1"/>
  <c r="C97" i="55"/>
  <c r="I545" i="1"/>
  <c r="K545" i="1" s="1"/>
  <c r="C240" i="55"/>
  <c r="L477" i="1"/>
  <c r="K478" i="1"/>
  <c r="C488" i="55"/>
  <c r="AD492" i="1"/>
  <c r="AD493" i="1" s="1"/>
  <c r="AD494" i="1" s="1"/>
  <c r="AD495" i="1" s="1"/>
  <c r="AD496" i="1" s="1"/>
  <c r="AD497" i="1" s="1"/>
  <c r="AD498" i="1" s="1"/>
  <c r="AD499" i="1" s="1"/>
  <c r="C462" i="55"/>
  <c r="AI543" i="1"/>
  <c r="AK543" i="1" s="1"/>
  <c r="AI544" i="1" s="1"/>
  <c r="AK544" i="1" s="1"/>
  <c r="AI545" i="1" s="1"/>
  <c r="AK545" i="1" s="1"/>
  <c r="AI546" i="1" s="1"/>
  <c r="AK546" i="1" s="1"/>
  <c r="AI547" i="1" s="1"/>
  <c r="AK547" i="1" s="1"/>
  <c r="AI548" i="1" s="1"/>
  <c r="AK548" i="1" s="1"/>
  <c r="AI549" i="1" s="1"/>
  <c r="AK549" i="1" s="1"/>
  <c r="AI550" i="1" s="1"/>
  <c r="AK550" i="1" s="1"/>
  <c r="R1167" i="1"/>
  <c r="C530" i="55"/>
  <c r="K832" i="1"/>
  <c r="C78" i="55"/>
  <c r="AS189" i="1"/>
  <c r="AR188" i="1"/>
  <c r="AU188" i="1"/>
  <c r="AV188" i="1" s="1"/>
  <c r="C554" i="55"/>
  <c r="AR156" i="1"/>
  <c r="AS157" i="1"/>
  <c r="AU156" i="1"/>
  <c r="AV156" i="1" s="1"/>
  <c r="C547" i="55"/>
  <c r="K479" i="1" l="1"/>
  <c r="L478" i="1"/>
  <c r="I546" i="1"/>
  <c r="K546" i="1" s="1"/>
  <c r="C241" i="55"/>
  <c r="AE456" i="1"/>
  <c r="AG457" i="1"/>
  <c r="AI567" i="1"/>
  <c r="AK567" i="1" s="1"/>
  <c r="C469" i="55"/>
  <c r="X751" i="1"/>
  <c r="X752" i="1" s="1"/>
  <c r="X753" i="1" s="1"/>
  <c r="X754" i="1" s="1"/>
  <c r="C511" i="55"/>
  <c r="AG356" i="1"/>
  <c r="C98" i="55"/>
  <c r="AG419" i="1"/>
  <c r="C144" i="55"/>
  <c r="C79" i="55"/>
  <c r="K833" i="1"/>
  <c r="C531" i="55"/>
  <c r="R1168" i="1"/>
  <c r="AS158" i="1"/>
  <c r="C548" i="55"/>
  <c r="AR157" i="1"/>
  <c r="AU157" i="1"/>
  <c r="AV157" i="1" s="1"/>
  <c r="AT157" i="1"/>
  <c r="AR189" i="1"/>
  <c r="C555" i="55"/>
  <c r="AU189" i="1"/>
  <c r="AV189" i="1" s="1"/>
  <c r="AS190" i="1"/>
  <c r="AG420" i="1" l="1"/>
  <c r="C145" i="55"/>
  <c r="K480" i="1"/>
  <c r="L480" i="1" s="1"/>
  <c r="L479" i="1"/>
  <c r="AE457" i="1"/>
  <c r="AG458" i="1"/>
  <c r="AG357" i="1"/>
  <c r="C99" i="55"/>
  <c r="I547" i="1"/>
  <c r="K547" i="1" s="1"/>
  <c r="C242" i="55"/>
  <c r="K834" i="1"/>
  <c r="C80" i="55"/>
  <c r="C532" i="55"/>
  <c r="R1169" i="1"/>
  <c r="AS191" i="1"/>
  <c r="C556" i="55"/>
  <c r="AR190" i="1"/>
  <c r="AU190" i="1"/>
  <c r="AV190" i="1" s="1"/>
  <c r="AU158" i="1"/>
  <c r="AV158" i="1" s="1"/>
  <c r="AS159" i="1"/>
  <c r="C549" i="55"/>
  <c r="AR158" i="1"/>
  <c r="I548" i="1" l="1"/>
  <c r="K548" i="1" s="1"/>
  <c r="C243" i="55"/>
  <c r="AG421" i="1"/>
  <c r="C146" i="55"/>
  <c r="AG459" i="1"/>
  <c r="AE458" i="1"/>
  <c r="AG358" i="1"/>
  <c r="C100" i="55"/>
  <c r="K835" i="1"/>
  <c r="C81" i="55"/>
  <c r="C533" i="55"/>
  <c r="R1170" i="1"/>
  <c r="AU159" i="1"/>
  <c r="AV159" i="1" s="1"/>
  <c r="AR159" i="1"/>
  <c r="AS160" i="1"/>
  <c r="C550" i="55"/>
  <c r="AU191" i="1"/>
  <c r="AV191" i="1" s="1"/>
  <c r="AR191" i="1"/>
  <c r="AS192" i="1"/>
  <c r="C557" i="55"/>
  <c r="AE459" i="1" l="1"/>
  <c r="AG460" i="1"/>
  <c r="C101" i="55"/>
  <c r="AG359" i="1"/>
  <c r="AG422" i="1"/>
  <c r="C147" i="55"/>
  <c r="C82" i="55"/>
  <c r="K836" i="1"/>
  <c r="C83" i="55" s="1"/>
  <c r="C534" i="55"/>
  <c r="R1171" i="1"/>
  <c r="AR192" i="1"/>
  <c r="C558" i="55"/>
  <c r="AU192" i="1"/>
  <c r="AV192" i="1" s="1"/>
  <c r="AU160" i="1"/>
  <c r="AV160" i="1" s="1"/>
  <c r="C551" i="55"/>
  <c r="AR160" i="1"/>
  <c r="AG423" i="1" l="1"/>
  <c r="C148" i="55"/>
  <c r="AE460" i="1"/>
  <c r="AG461" i="1"/>
  <c r="AG360" i="1"/>
  <c r="C102" i="55"/>
  <c r="C535" i="55"/>
  <c r="R1172" i="1"/>
  <c r="C536" i="55" s="1"/>
  <c r="C103" i="55" l="1"/>
  <c r="AG361" i="1"/>
  <c r="C104" i="55" s="1"/>
  <c r="C149" i="55"/>
  <c r="AI423" i="1"/>
  <c r="AG462" i="1"/>
  <c r="AE461" i="1"/>
  <c r="AE462" i="1" l="1"/>
  <c r="AG463" i="1"/>
  <c r="C150" i="55"/>
  <c r="AI424" i="1"/>
  <c r="C151" i="55" s="1"/>
  <c r="AG464" i="1" l="1"/>
  <c r="AE464" i="1" s="1"/>
  <c r="AE463" i="1"/>
</calcChain>
</file>

<file path=xl/sharedStrings.xml><?xml version="1.0" encoding="utf-8"?>
<sst xmlns="http://schemas.openxmlformats.org/spreadsheetml/2006/main" count="36161" uniqueCount="6596">
  <si>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</si>
  <si>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</si>
  <si>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</si>
  <si>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</si>
  <si>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</si>
  <si>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</si>
  <si>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</si>
  <si>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</si>
  <si>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</si>
  <si>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</si>
  <si>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</si>
  <si>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</si>
  <si>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</si>
  <si>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</si>
  <si>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</si>
  <si>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</si>
  <si>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</si>
  <si>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</si>
  <si>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</si>
  <si>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</si>
  <si>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</si>
  <si>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</si>
  <si>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</si>
  <si>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</si>
  <si>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</si>
  <si>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</si>
  <si>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</si>
  <si>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</si>
  <si>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</si>
  <si>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</si>
  <si>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</si>
  <si>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</si>
  <si>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</si>
  <si>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</si>
  <si>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</si>
  <si>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</si>
  <si>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</si>
  <si>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</si>
  <si>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</si>
  <si>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</si>
  <si>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</si>
  <si>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</si>
  <si>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</si>
  <si>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</si>
  <si>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</si>
  <si>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</si>
  <si>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</si>
  <si>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</si>
  <si>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</si>
  <si>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</si>
  <si>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</si>
  <si>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</si>
  <si>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</si>
  <si>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</si>
  <si>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</si>
  <si>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</si>
  <si>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</si>
  <si>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</si>
  <si>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</si>
  <si>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</si>
  <si>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</si>
  <si>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</si>
  <si>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</si>
  <si>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</si>
  <si>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</si>
  <si>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</si>
  <si>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</si>
  <si>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</si>
  <si>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</si>
  <si>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</si>
  <si>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</si>
  <si>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</si>
  <si>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</si>
  <si>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</si>
  <si>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</si>
  <si>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</si>
  <si>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</si>
  <si>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</si>
  <si>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</si>
  <si>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</si>
  <si>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</si>
  <si>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</si>
  <si>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</si>
  <si>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</si>
  <si>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</si>
  <si>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</si>
  <si>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</si>
  <si>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</si>
  <si>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</si>
  <si>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</si>
  <si>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</si>
  <si>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</si>
  <si>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</si>
  <si>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</si>
  <si>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</si>
  <si>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</si>
  <si>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</si>
  <si>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</si>
  <si>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</si>
  <si>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</si>
  <si>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</si>
  <si>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</si>
  <si>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</si>
  <si>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</si>
  <si>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</si>
  <si>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</si>
  <si>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</si>
  <si>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</si>
  <si>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</si>
  <si>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</si>
  <si>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</si>
  <si>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</si>
  <si>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</si>
  <si>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</si>
  <si>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</si>
  <si>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</si>
  <si>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</si>
  <si>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</si>
  <si>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</si>
  <si>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</si>
  <si>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</si>
  <si>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</si>
  <si>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</si>
  <si>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</si>
  <si>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</si>
  <si>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</si>
  <si>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</si>
  <si>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</si>
  <si>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</si>
  <si>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</si>
  <si>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</si>
  <si>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</si>
  <si>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</si>
  <si>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</si>
  <si>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</si>
  <si>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</si>
  <si>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</si>
  <si>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</si>
  <si>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</si>
  <si>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</si>
  <si>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</si>
  <si>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</si>
  <si>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</si>
  <si>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</si>
  <si>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</si>
  <si>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</si>
  <si>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</si>
  <si>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</si>
  <si>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</si>
  <si>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</si>
  <si>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</si>
  <si>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</si>
  <si>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</si>
  <si>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</si>
  <si>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</si>
  <si>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</si>
  <si>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</si>
  <si>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</si>
  <si>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</si>
  <si>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</si>
  <si>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</si>
  <si>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</si>
  <si>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</si>
  <si>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</si>
  <si>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</si>
  <si>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</si>
  <si>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</si>
  <si>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</si>
  <si>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</si>
  <si>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</si>
  <si>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</si>
  <si>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</si>
  <si>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</si>
  <si>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</si>
  <si>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</si>
  <si>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</si>
  <si>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</si>
  <si>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</si>
  <si>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</si>
  <si>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</si>
  <si>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</si>
  <si>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</si>
  <si>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</si>
  <si>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</si>
  <si>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</si>
  <si>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</si>
  <si>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</si>
  <si>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</si>
  <si>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</si>
  <si>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</si>
  <si>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</si>
  <si>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</si>
  <si>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</si>
  <si>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</si>
  <si>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</si>
  <si>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</si>
  <si>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</si>
  <si>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</si>
  <si>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</si>
  <si>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</si>
  <si>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</si>
  <si>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</si>
  <si>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</si>
  <si>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</si>
  <si>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</si>
  <si>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</si>
  <si>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</si>
  <si>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</si>
  <si>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</si>
  <si>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</si>
  <si>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</si>
  <si>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</si>
  <si>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</si>
  <si>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</si>
  <si>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</si>
  <si>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</si>
  <si>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</si>
  <si>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</si>
  <si>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</si>
  <si>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</si>
  <si>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</si>
  <si>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</si>
  <si>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</si>
  <si>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</si>
  <si>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</si>
  <si>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</si>
  <si>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</si>
  <si>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</si>
  <si>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</si>
  <si>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</si>
  <si>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</si>
  <si>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</si>
  <si>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</si>
  <si>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</si>
  <si>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</si>
  <si>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</si>
  <si>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</si>
  <si>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</si>
  <si>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</si>
  <si>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</si>
  <si>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</si>
  <si>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</si>
  <si>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</si>
  <si>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</si>
  <si>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</si>
  <si>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</si>
  <si>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</si>
  <si>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</si>
  <si>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</si>
  <si>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</si>
  <si>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</si>
  <si>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</si>
  <si>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</si>
  <si>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</si>
  <si>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</si>
  <si>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</si>
  <si>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</si>
  <si>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</si>
  <si>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</si>
  <si>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</si>
  <si>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</si>
  <si>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</si>
  <si>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</si>
  <si>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</si>
  <si>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</si>
  <si>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</si>
  <si>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</si>
  <si>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</si>
  <si>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</si>
  <si>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</si>
  <si>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</si>
  <si>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</si>
  <si>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</si>
  <si>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</si>
  <si>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</si>
  <si>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</si>
  <si>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</si>
  <si>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</si>
  <si>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</si>
  <si>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</si>
  <si>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</si>
  <si>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</si>
  <si>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</si>
  <si>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</si>
  <si>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</si>
  <si>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</si>
  <si>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</si>
  <si>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</si>
  <si>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</si>
  <si>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</si>
  <si>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</si>
  <si>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</si>
  <si>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</si>
  <si>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</si>
  <si>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</si>
  <si>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</si>
  <si>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</si>
  <si>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</si>
  <si>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</si>
  <si>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</si>
  <si>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</si>
  <si>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</si>
  <si>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</si>
  <si>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</si>
  <si>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</si>
  <si>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</si>
  <si>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</si>
  <si>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</si>
  <si>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</si>
  <si>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</si>
  <si>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</si>
  <si>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</si>
  <si>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</si>
  <si>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</si>
  <si>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</si>
  <si>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</si>
  <si>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</si>
  <si>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</si>
  <si>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</si>
  <si>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</si>
  <si>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</si>
  <si>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</si>
  <si>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</si>
  <si>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</si>
  <si>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</si>
  <si>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</si>
  <si>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</si>
  <si>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</si>
  <si>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</si>
  <si>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</si>
  <si>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</si>
  <si>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</si>
  <si>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</si>
  <si>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</si>
  <si>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</si>
  <si>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</si>
  <si>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</si>
  <si>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</si>
  <si>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</si>
  <si>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</si>
  <si>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</si>
  <si>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</si>
  <si>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</si>
  <si>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</si>
  <si>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</si>
  <si>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</si>
  <si>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</si>
  <si>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</si>
  <si>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</si>
  <si>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</si>
  <si>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</si>
  <si>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</si>
  <si>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</si>
  <si>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</si>
  <si>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</si>
  <si>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</si>
  <si>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</si>
  <si>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</si>
  <si>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</si>
  <si>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</si>
  <si>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</si>
  <si>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</si>
  <si>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</si>
  <si>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</si>
  <si>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</si>
  <si>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</si>
  <si>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</si>
  <si>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</si>
  <si>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</si>
  <si>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</si>
  <si>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</si>
  <si>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</si>
  <si>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</si>
  <si>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</si>
  <si>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</si>
  <si>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</si>
  <si>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</si>
  <si>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</si>
  <si>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</si>
  <si>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</si>
  <si>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</si>
  <si>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</si>
  <si>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</si>
  <si>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</si>
  <si>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</si>
  <si>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</si>
  <si>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</si>
  <si>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</si>
  <si>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</si>
  <si>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</si>
  <si>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</si>
  <si>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</si>
  <si>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</si>
  <si>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</si>
  <si>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</si>
  <si>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</si>
  <si>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</si>
  <si>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</si>
  <si>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</si>
  <si>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</si>
  <si>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</si>
  <si>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</si>
  <si>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</si>
  <si>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</si>
  <si>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</si>
  <si>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</si>
  <si>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</si>
  <si>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</si>
  <si>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</si>
  <si>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</si>
  <si>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</si>
  <si>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</si>
  <si>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</si>
  <si>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</si>
  <si>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</si>
  <si>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</si>
  <si>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</si>
  <si>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</si>
  <si>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</si>
  <si>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</si>
  <si>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</si>
  <si>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</si>
  <si>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</si>
  <si>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</si>
  <si>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</si>
  <si>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</si>
  <si>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</si>
  <si>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</si>
  <si>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</si>
  <si>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</si>
  <si>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</si>
  <si>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</si>
  <si>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</si>
  <si>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</si>
  <si>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</si>
  <si>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</si>
  <si>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</si>
  <si>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</si>
  <si>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</si>
  <si>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</si>
  <si>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</si>
  <si>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</si>
  <si>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</si>
  <si>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</si>
  <si>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</si>
  <si>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</si>
  <si>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</si>
  <si>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</si>
  <si>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</si>
  <si>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</si>
  <si>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</si>
  <si>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</si>
  <si>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</si>
  <si>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</si>
  <si>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</si>
  <si>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</si>
  <si>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</si>
  <si>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</si>
  <si>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</si>
  <si>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</si>
  <si>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</si>
  <si>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</si>
  <si>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</si>
  <si>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</si>
  <si>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</si>
  <si>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</si>
  <si>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</si>
  <si>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</si>
  <si>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</si>
  <si>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</si>
  <si>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</si>
  <si>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</si>
  <si>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</si>
  <si>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</si>
  <si>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</si>
  <si>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</si>
  <si>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</si>
  <si>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</si>
  <si>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</si>
  <si>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</si>
  <si>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</si>
  <si>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</si>
  <si>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</si>
  <si>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</si>
  <si>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</si>
  <si>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</si>
  <si>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</si>
  <si>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</si>
  <si>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</si>
  <si>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</si>
  <si>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</si>
  <si>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</si>
  <si>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</si>
  <si>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</si>
  <si>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</si>
  <si>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</si>
  <si>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</si>
  <si>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</si>
  <si>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</si>
  <si>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</si>
  <si>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</si>
  <si>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</si>
  <si>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</si>
  <si>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</si>
  <si>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</si>
  <si>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</si>
  <si>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</si>
  <si>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</si>
  <si>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</si>
  <si>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</si>
  <si>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</si>
  <si>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</si>
  <si>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</si>
  <si>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</si>
  <si>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</si>
  <si>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</si>
  <si>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</si>
  <si>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</si>
  <si>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</si>
  <si>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</si>
  <si>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</si>
  <si>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</si>
  <si>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</si>
  <si>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</si>
  <si>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</si>
  <si>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</si>
  <si>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</si>
  <si>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</si>
  <si>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</si>
  <si>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</si>
  <si>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</si>
  <si>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</si>
  <si>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</si>
  <si>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</si>
  <si>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</si>
  <si>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</si>
  <si>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</si>
  <si>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</si>
  <si>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</si>
  <si>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</si>
  <si>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</si>
  <si>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</si>
  <si>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</si>
  <si>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</si>
  <si>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</si>
  <si>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</si>
  <si>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</si>
  <si>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</si>
  <si>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</si>
  <si>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</si>
  <si>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</si>
  <si>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</si>
  <si>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</si>
  <si>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</si>
  <si>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</si>
  <si>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</si>
  <si>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</si>
  <si>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</si>
  <si>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</si>
  <si>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</si>
  <si>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</si>
  <si>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</si>
  <si>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</si>
  <si>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</si>
  <si>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</si>
  <si>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</si>
  <si>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</si>
  <si>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</si>
  <si>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</si>
  <si>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</si>
  <si>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</si>
  <si>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</si>
  <si>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</si>
  <si>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</si>
  <si>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</si>
  <si>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</si>
  <si>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</si>
  <si>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</si>
  <si>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</si>
  <si>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</si>
  <si>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</si>
  <si>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</si>
  <si>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</si>
  <si>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</si>
  <si>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</si>
  <si>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</si>
  <si>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</si>
  <si>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</si>
  <si>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</si>
  <si>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</si>
  <si>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</si>
  <si>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</si>
  <si>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</si>
  <si>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</si>
  <si>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</si>
  <si>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</si>
  <si>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</si>
  <si>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</si>
  <si>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</si>
  <si>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</si>
  <si>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</si>
  <si>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</si>
  <si>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</si>
  <si>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</si>
  <si>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</si>
  <si>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</si>
  <si>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</si>
  <si>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</si>
  <si>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</si>
  <si>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</si>
  <si>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</si>
  <si>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</si>
  <si>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</si>
  <si>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</si>
  <si>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</si>
  <si>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</si>
  <si>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</si>
  <si>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</si>
  <si>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</si>
  <si>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</si>
  <si>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</si>
  <si>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</si>
  <si>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</si>
  <si>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</si>
  <si>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</si>
  <si>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</si>
  <si>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</si>
  <si>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</si>
  <si>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</si>
  <si>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</si>
  <si>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</si>
  <si>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</si>
  <si>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</si>
  <si>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</si>
  <si>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</si>
  <si>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</si>
  <si>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</si>
  <si>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</si>
  <si>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</si>
  <si>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</si>
  <si>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</si>
  <si>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</si>
  <si>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</si>
  <si>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</si>
  <si>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</si>
  <si>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</si>
  <si>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</si>
  <si>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</si>
  <si>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</si>
  <si>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</si>
  <si>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</si>
  <si>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</si>
  <si>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</si>
  <si>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</si>
  <si>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</si>
  <si>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</si>
  <si>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</si>
  <si>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</si>
  <si>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</si>
  <si>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</si>
  <si>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</si>
  <si>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</si>
  <si>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</si>
  <si>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</si>
  <si>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</si>
  <si>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</si>
  <si>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</si>
  <si>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</si>
  <si>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</si>
  <si>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</si>
  <si>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</si>
  <si>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</si>
  <si>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</si>
  <si>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</si>
  <si>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</si>
  <si>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</si>
  <si>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</si>
  <si>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</si>
  <si>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</si>
  <si>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</si>
  <si>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</si>
  <si>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</si>
  <si>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</si>
  <si>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</si>
  <si>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</si>
  <si>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</si>
  <si>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</si>
  <si>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</si>
  <si>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</si>
  <si>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</si>
  <si>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</si>
  <si>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</si>
  <si>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</si>
  <si>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</si>
  <si>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</si>
  <si>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</si>
  <si>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</si>
  <si>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</si>
  <si>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</si>
  <si>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</si>
  <si>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</si>
  <si>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</si>
  <si>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</si>
  <si>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</si>
  <si>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</si>
  <si>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</si>
  <si>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</si>
  <si>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</si>
  <si>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</si>
  <si>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</si>
  <si>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</si>
  <si>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</si>
  <si>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</si>
  <si>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</si>
  <si>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</si>
  <si>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</si>
  <si>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</si>
  <si>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</si>
  <si>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</si>
  <si>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</si>
  <si>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</si>
  <si>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</si>
  <si>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</si>
  <si>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</si>
  <si>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</si>
  <si>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</si>
  <si>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</si>
  <si>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</si>
  <si>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</si>
  <si>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</si>
  <si>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</si>
  <si>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</si>
  <si>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</si>
  <si>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</si>
  <si>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</si>
  <si>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</si>
  <si>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</si>
  <si>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</si>
  <si>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</si>
  <si>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</si>
  <si>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</si>
  <si>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</si>
  <si>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</si>
  <si>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</si>
  <si>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</si>
  <si>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</si>
  <si>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</si>
  <si>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</si>
  <si>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</si>
  <si>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</si>
  <si>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</si>
  <si>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</si>
  <si>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</si>
  <si>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</si>
  <si>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</si>
  <si>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</si>
  <si>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</si>
  <si>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</si>
  <si>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</si>
  <si>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</si>
  <si>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</si>
  <si>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</si>
  <si>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</si>
  <si>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</si>
  <si>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</si>
  <si>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</si>
  <si>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</si>
  <si>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</si>
  <si>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</si>
  <si>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</si>
  <si>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</si>
  <si>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</si>
  <si>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</si>
  <si>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</si>
  <si>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</si>
  <si>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</si>
  <si>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</si>
  <si>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</si>
  <si>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</si>
  <si>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</si>
  <si>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</si>
  <si>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</si>
  <si>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</si>
  <si>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</si>
  <si>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</si>
  <si>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</si>
  <si>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</si>
  <si>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</si>
  <si>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</si>
  <si>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</si>
  <si>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</si>
  <si>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</si>
  <si>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</si>
  <si>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</si>
  <si>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</si>
  <si>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</si>
  <si>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</si>
  <si>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</si>
  <si>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</si>
  <si>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</si>
  <si>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</si>
  <si>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</si>
  <si>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</si>
  <si>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</si>
  <si>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</si>
  <si>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</si>
  <si>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</si>
  <si>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</si>
  <si>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</si>
  <si>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</si>
  <si>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</si>
  <si>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</si>
  <si>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</si>
  <si>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</si>
  <si>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</si>
  <si>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</si>
  <si>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</si>
  <si>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</si>
  <si>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</si>
  <si>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</si>
  <si>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</si>
  <si>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</si>
  <si>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</si>
  <si>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</si>
  <si>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</si>
  <si>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</si>
  <si>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</si>
  <si>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</si>
  <si>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</si>
  <si>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</si>
  <si>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</si>
  <si>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</si>
  <si>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</si>
  <si>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</si>
  <si>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</si>
  <si>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</si>
  <si>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</si>
  <si>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</si>
  <si>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</si>
  <si>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</si>
  <si>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</si>
  <si>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</si>
  <si>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</si>
  <si>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</si>
  <si>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</si>
  <si>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</si>
  <si>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</si>
  <si>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</si>
  <si>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</si>
  <si>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</si>
  <si>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</si>
  <si>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</si>
  <si>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</si>
  <si>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</si>
  <si>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</si>
  <si>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</si>
  <si>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</si>
  <si>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</si>
  <si>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</si>
  <si>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</si>
  <si>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</si>
  <si>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</si>
  <si>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</si>
  <si>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</si>
  <si>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</si>
  <si>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</si>
  <si>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</si>
  <si>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</si>
  <si>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</si>
  <si>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</si>
  <si>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</si>
  <si>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</si>
  <si>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</si>
  <si>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</si>
  <si>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</si>
  <si>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</si>
  <si>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</si>
  <si>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</si>
  <si>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</si>
  <si>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</si>
  <si>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</si>
  <si>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</si>
  <si>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</si>
  <si>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</si>
  <si>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</si>
  <si>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</si>
  <si>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</si>
  <si>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</si>
  <si>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</si>
  <si>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</si>
  <si>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</si>
  <si>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</si>
  <si>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</si>
  <si>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</si>
  <si>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</si>
  <si>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</si>
  <si>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</si>
  <si>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</si>
  <si>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</si>
  <si>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</si>
  <si>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</si>
  <si>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</si>
  <si>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</si>
  <si>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</si>
  <si>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</si>
  <si>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</si>
  <si>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</si>
  <si>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</si>
  <si>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</si>
  <si>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</si>
  <si>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</si>
  <si>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</si>
  <si>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</si>
  <si>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</si>
  <si>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</si>
  <si>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</si>
  <si>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</si>
  <si>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</si>
  <si>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</si>
  <si>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</si>
  <si>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</si>
  <si>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</si>
  <si>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</si>
  <si>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</si>
  <si>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</si>
  <si>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</si>
  <si>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</si>
  <si>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</si>
  <si>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</si>
  <si>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</si>
  <si>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</si>
  <si>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</si>
  <si>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</si>
  <si>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</si>
  <si>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</si>
  <si>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</si>
  <si>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</si>
  <si>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</si>
  <si>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</si>
  <si>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</si>
  <si>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</si>
  <si>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</si>
  <si>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</si>
  <si>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</si>
  <si>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</si>
  <si>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</si>
  <si>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</si>
  <si>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</si>
  <si>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</si>
  <si>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</si>
  <si>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</si>
  <si>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</si>
  <si>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</si>
  <si>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</si>
  <si>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</si>
  <si>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</si>
  <si>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</si>
  <si>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</si>
  <si>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</si>
  <si>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</si>
  <si>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</si>
  <si>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</si>
  <si>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</si>
  <si>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</si>
  <si>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</si>
  <si>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</si>
  <si>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</si>
  <si>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</si>
  <si>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</si>
  <si>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</si>
  <si>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</si>
  <si>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</si>
  <si>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</si>
  <si>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</si>
  <si>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</si>
  <si>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</si>
  <si>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</si>
  <si>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</si>
  <si>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</si>
  <si>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</si>
  <si>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</si>
  <si>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</si>
  <si>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</si>
  <si>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</si>
  <si>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</si>
  <si>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</si>
  <si>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</si>
  <si>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</si>
  <si>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</si>
  <si>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</si>
  <si>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</si>
  <si>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</si>
  <si>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</si>
  <si>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</si>
  <si>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</si>
  <si>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</si>
  <si>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</si>
  <si>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</si>
  <si>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</si>
  <si>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</si>
  <si>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</si>
  <si>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</si>
  <si>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</si>
  <si>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</si>
  <si>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</si>
  <si>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</si>
  <si>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</si>
  <si>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</si>
  <si>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</si>
  <si>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</si>
  <si>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</si>
  <si>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</si>
  <si>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</si>
  <si>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</si>
  <si>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</si>
  <si>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</si>
  <si>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</si>
  <si>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</si>
  <si>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</si>
  <si>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</si>
  <si>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</si>
  <si>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</si>
  <si>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</si>
  <si>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</si>
  <si>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</si>
  <si>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</si>
  <si>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</si>
  <si>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</si>
  <si>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</si>
  <si>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</si>
  <si>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</si>
  <si>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</si>
  <si>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</si>
  <si>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</si>
  <si>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</si>
  <si>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</si>
  <si>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</si>
  <si>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</si>
  <si>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</si>
  <si>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</si>
  <si>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</si>
  <si>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</si>
  <si>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</si>
  <si>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</si>
  <si>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</si>
  <si>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</si>
  <si>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</si>
  <si>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</si>
  <si>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</si>
  <si>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</si>
  <si>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</si>
  <si>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</si>
  <si>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</si>
  <si>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</si>
  <si>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</si>
  <si>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</si>
  <si>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</si>
  <si>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</si>
  <si>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</si>
  <si>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</si>
  <si>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</si>
  <si>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</si>
  <si>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</si>
  <si>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</si>
  <si>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</si>
  <si>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</si>
  <si>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</si>
  <si>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</si>
  <si>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</si>
  <si>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</si>
  <si>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</si>
  <si>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</si>
  <si>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</si>
  <si>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</si>
  <si>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</si>
  <si>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</si>
  <si>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</si>
  <si>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</si>
  <si>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</si>
  <si>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</si>
  <si>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</si>
  <si>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</si>
  <si>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</si>
  <si>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</si>
  <si>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</si>
  <si>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</si>
  <si>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</si>
  <si>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</si>
  <si>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</si>
  <si>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</si>
  <si>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</si>
  <si>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</si>
  <si>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</si>
  <si>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</si>
  <si>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</si>
  <si>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</si>
  <si>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</si>
  <si>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</si>
  <si>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</si>
  <si>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</si>
  <si>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</si>
  <si>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</si>
  <si>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</si>
  <si>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</si>
  <si>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</si>
  <si>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</si>
  <si>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</si>
  <si>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</si>
  <si>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</si>
  <si>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</si>
  <si>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</si>
  <si>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</si>
  <si>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</si>
  <si>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</si>
  <si>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</si>
  <si>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</si>
  <si>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</si>
  <si>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</si>
  <si>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</si>
  <si>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</si>
  <si>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</si>
  <si>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</si>
  <si>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</si>
  <si>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</si>
  <si>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</si>
  <si>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</si>
  <si>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</si>
  <si>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</si>
  <si>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</si>
  <si>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</si>
  <si>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</si>
  <si>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</si>
  <si>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</si>
  <si>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</si>
  <si>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</si>
  <si>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</si>
  <si>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</si>
  <si>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</si>
  <si>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</si>
  <si>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</si>
  <si>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</si>
  <si>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</si>
  <si>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</si>
  <si>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</si>
  <si>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</si>
  <si>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</si>
  <si>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</si>
  <si>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</si>
  <si>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</si>
  <si>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</si>
  <si>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</si>
  <si>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</si>
  <si>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</si>
  <si>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</si>
  <si>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</si>
  <si>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</si>
  <si>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</si>
  <si>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</si>
  <si>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</si>
  <si>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</si>
  <si>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</si>
  <si>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</si>
  <si>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</si>
  <si>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</si>
  <si>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</si>
  <si>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</si>
  <si>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</si>
  <si>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</si>
  <si>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</si>
  <si>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</si>
  <si>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</si>
  <si>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</si>
  <si>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</si>
  <si>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</si>
  <si>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</si>
  <si>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</si>
  <si>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</si>
  <si>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</si>
  <si>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</si>
  <si>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</si>
  <si>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</si>
  <si>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</si>
  <si>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</si>
  <si>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</si>
  <si>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</si>
  <si>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</si>
  <si>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</si>
  <si>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</si>
  <si>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</si>
  <si>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</si>
  <si>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</si>
  <si>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</si>
  <si>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</si>
  <si>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</si>
  <si>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</si>
  <si>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</si>
  <si>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</si>
  <si>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</si>
  <si>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</si>
  <si>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</si>
  <si>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</si>
  <si>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</si>
  <si>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</si>
  <si>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</si>
  <si>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</si>
  <si>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</si>
  <si>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</si>
  <si>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</si>
  <si>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</si>
  <si>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</si>
  <si>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</si>
  <si>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</si>
  <si>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</si>
  <si>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</si>
  <si>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</si>
  <si>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</si>
  <si>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</si>
  <si>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</si>
  <si>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</si>
  <si>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</si>
  <si>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</si>
  <si>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</si>
  <si>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</si>
  <si>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</si>
  <si>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</si>
  <si>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</si>
  <si>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</si>
  <si>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</si>
  <si>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</si>
  <si>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</si>
  <si>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</si>
  <si>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</si>
  <si>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</si>
  <si>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</si>
  <si>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</si>
  <si>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</si>
  <si>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</si>
  <si>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</si>
  <si>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</si>
  <si>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</si>
  <si>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</si>
  <si>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</si>
  <si>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</si>
  <si>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</si>
  <si>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</si>
  <si>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</si>
  <si>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</si>
  <si>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</si>
  <si>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</si>
  <si>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</si>
  <si>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</si>
  <si>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</si>
  <si>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</si>
  <si>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</si>
  <si>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</si>
  <si>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</si>
  <si>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</si>
  <si>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</si>
  <si>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</si>
  <si>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</si>
  <si>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</si>
  <si>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</si>
  <si>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</si>
  <si>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</si>
  <si>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</si>
  <si>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</si>
  <si>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</si>
  <si>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</si>
  <si>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</si>
  <si>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</si>
  <si>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</si>
  <si>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</si>
  <si>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</si>
  <si>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</si>
  <si>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</si>
  <si>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</si>
  <si>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</si>
  <si>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</si>
  <si>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</si>
  <si>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</si>
  <si>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</si>
  <si>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</si>
  <si>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</si>
  <si>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</si>
  <si>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</si>
  <si>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</si>
  <si>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</si>
  <si>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</si>
  <si>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</si>
  <si>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</si>
  <si>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</si>
  <si>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</si>
  <si>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</si>
  <si>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</si>
  <si>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</si>
  <si>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</si>
  <si>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</si>
  <si>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</si>
  <si>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</si>
  <si>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</si>
  <si>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</si>
  <si>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</si>
  <si>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</si>
  <si>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</si>
  <si>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</si>
  <si>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</si>
  <si>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</si>
  <si>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</si>
  <si>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</si>
  <si>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</si>
  <si>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</si>
  <si>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</si>
  <si>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</si>
  <si>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</si>
  <si>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</si>
  <si>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</si>
  <si>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</si>
  <si>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</si>
  <si>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</si>
  <si>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</si>
  <si>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</si>
  <si>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</si>
  <si>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</si>
  <si>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</si>
  <si>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</si>
  <si>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</si>
  <si>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</si>
  <si>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</si>
  <si>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</si>
  <si>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</si>
  <si>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</si>
  <si>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</si>
  <si>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</si>
  <si>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</si>
  <si>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</si>
  <si>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</si>
  <si>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</si>
  <si>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</si>
  <si>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</si>
  <si>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</si>
  <si>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</si>
  <si>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</si>
  <si>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</si>
  <si>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</si>
  <si>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</si>
  <si>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</si>
  <si>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</si>
  <si>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</si>
  <si>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</si>
  <si>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</si>
  <si>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</si>
  <si>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</si>
  <si>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</si>
  <si>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</si>
  <si>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</si>
  <si>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</si>
  <si>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</si>
  <si>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</si>
  <si>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</si>
  <si>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</si>
  <si>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</si>
  <si>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</si>
  <si>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</si>
  <si>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</si>
  <si>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</si>
  <si>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</si>
  <si>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</si>
  <si>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</si>
  <si>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</si>
  <si>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</si>
  <si>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</si>
  <si>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</si>
  <si>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</si>
  <si>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</si>
  <si>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</si>
  <si>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</si>
  <si>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</si>
  <si>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</si>
  <si>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</si>
  <si>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</si>
  <si>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</si>
  <si>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</si>
  <si>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</si>
  <si>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</si>
  <si>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</si>
  <si>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</si>
  <si>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</si>
  <si>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</si>
  <si>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</si>
  <si>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</si>
  <si>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</si>
  <si>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</si>
  <si>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</si>
  <si>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</si>
  <si>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</si>
  <si>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</si>
  <si>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</si>
  <si>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</si>
  <si>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</si>
  <si>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</si>
  <si>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</si>
  <si>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</si>
  <si>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</si>
  <si>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</si>
  <si>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</si>
  <si>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</si>
  <si>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</si>
  <si>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</si>
  <si>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</si>
  <si>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</si>
  <si>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</si>
  <si>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</si>
  <si>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</si>
  <si>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</si>
  <si>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</si>
  <si>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</si>
  <si>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</si>
  <si>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</si>
  <si>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</si>
  <si>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</si>
  <si>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</si>
  <si>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</si>
  <si>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</si>
  <si>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</si>
  <si>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</si>
  <si>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</si>
  <si>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</si>
  <si>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</si>
  <si>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</si>
  <si>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</si>
  <si>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</si>
  <si>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</si>
  <si>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</si>
  <si>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</si>
  <si>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</si>
  <si>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</si>
  <si>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</si>
  <si>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</si>
  <si>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</si>
  <si>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</si>
  <si>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</si>
  <si>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</si>
  <si>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</si>
  <si>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</si>
  <si>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</si>
  <si>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</si>
  <si>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</si>
  <si>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</si>
  <si>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</si>
  <si>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</si>
  <si>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</si>
  <si>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</si>
  <si>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</si>
  <si>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</si>
  <si>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</si>
  <si>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</si>
  <si>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</si>
  <si>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</si>
  <si>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</si>
  <si>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</si>
  <si>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</si>
  <si>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</si>
  <si>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</si>
  <si>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</si>
  <si>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</si>
  <si>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</si>
  <si>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</si>
  <si>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</si>
  <si>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</si>
  <si>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</si>
  <si>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</si>
  <si>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</si>
  <si>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</si>
  <si>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</si>
  <si>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</si>
  <si>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</si>
  <si>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</si>
  <si>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</si>
  <si>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</si>
  <si>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</si>
  <si>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</si>
  <si>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</si>
  <si>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</si>
  <si>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</si>
  <si>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</si>
  <si>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</si>
  <si>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</si>
  <si>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</si>
  <si>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</si>
  <si>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</si>
  <si>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</si>
  <si>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</si>
  <si>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</si>
  <si>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</si>
  <si>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</si>
  <si>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</si>
  <si>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</si>
  <si>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</si>
  <si>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</si>
  <si>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</si>
  <si>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</si>
  <si>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</si>
  <si>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</si>
  <si>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</si>
  <si>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</si>
  <si>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</si>
  <si>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</si>
  <si>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</si>
  <si>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</si>
  <si>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</si>
  <si>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</si>
  <si>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</si>
  <si>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</si>
  <si>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</si>
  <si>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</si>
  <si>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</si>
  <si>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</si>
  <si>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</si>
  <si>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</si>
  <si>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</si>
  <si>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</si>
  <si>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</si>
  <si>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</si>
  <si>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</si>
  <si>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</si>
  <si>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</si>
  <si>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</si>
  <si>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</si>
  <si>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</si>
  <si>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</si>
  <si>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</si>
  <si>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</si>
  <si>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</si>
  <si>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</si>
  <si>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</si>
  <si>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</si>
  <si>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</si>
  <si>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</si>
  <si>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</si>
  <si>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</si>
  <si>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</si>
  <si>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</si>
  <si>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</si>
  <si>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</si>
  <si>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</si>
  <si>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</si>
  <si>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</si>
  <si>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</si>
  <si>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</si>
  <si>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</si>
  <si>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</si>
  <si>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</si>
  <si>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</si>
  <si>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</si>
  <si>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</si>
  <si>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</si>
  <si>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</si>
  <si>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</si>
  <si>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</si>
  <si>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</si>
  <si>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</si>
  <si>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</si>
  <si>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</si>
  <si>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</si>
  <si>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</si>
  <si>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</si>
  <si>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</si>
  <si>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</si>
  <si>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</si>
  <si>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</si>
  <si>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</si>
  <si>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</si>
  <si>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</si>
  <si>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</si>
  <si>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</si>
  <si>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</si>
  <si>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</si>
  <si>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</si>
  <si>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</si>
  <si>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</si>
  <si>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</si>
  <si>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</si>
  <si>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</si>
  <si>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</si>
  <si>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</si>
  <si>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</si>
  <si>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</si>
  <si>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</si>
  <si>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</si>
  <si>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</si>
  <si>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</si>
  <si>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</si>
  <si>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</si>
  <si>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</si>
  <si>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</si>
  <si>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</si>
  <si>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</si>
  <si>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</si>
  <si>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</si>
  <si>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</si>
  <si>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</si>
  <si>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</si>
  <si>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</si>
  <si>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</si>
  <si>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</si>
  <si>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</si>
  <si>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</si>
  <si>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</si>
  <si>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</si>
  <si>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</si>
  <si>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</si>
  <si>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</si>
  <si>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</si>
  <si>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</si>
  <si>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</si>
  <si>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</si>
  <si>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</si>
  <si>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</si>
  <si>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</si>
  <si>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</si>
  <si>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</si>
  <si>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</si>
  <si>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</si>
  <si>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</si>
  <si>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</si>
  <si>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</si>
  <si>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</si>
  <si>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</si>
  <si>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</si>
  <si>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</si>
  <si>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</si>
  <si>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</si>
  <si>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</si>
  <si>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</si>
  <si>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</si>
  <si>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</si>
  <si>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</si>
  <si>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</si>
  <si>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</si>
  <si>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</si>
  <si>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</si>
  <si>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</si>
  <si>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</si>
  <si>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</si>
  <si>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</si>
  <si>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</si>
  <si>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</si>
  <si>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</si>
  <si>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</si>
  <si>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</si>
  <si>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</si>
  <si>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</si>
  <si>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</si>
  <si>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</si>
  <si>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</si>
  <si>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</si>
  <si>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</si>
  <si>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</si>
  <si>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</si>
  <si>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</si>
  <si>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</si>
  <si>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</si>
  <si>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</si>
  <si>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</si>
  <si>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</si>
  <si>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</si>
  <si>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</si>
  <si>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</si>
  <si>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</si>
  <si>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</si>
  <si>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</si>
  <si>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</si>
  <si>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</si>
  <si>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</si>
  <si>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</si>
  <si>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</si>
  <si>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</si>
  <si>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</si>
  <si>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</si>
  <si>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</si>
  <si>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</si>
  <si>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</si>
  <si>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</si>
  <si>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</si>
  <si>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</si>
  <si>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</si>
  <si>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</si>
  <si>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</si>
  <si>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</si>
  <si>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</si>
  <si>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</si>
  <si>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</si>
  <si>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</si>
  <si>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</si>
  <si>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</si>
  <si>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</si>
  <si>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</si>
  <si>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</si>
  <si>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</si>
  <si>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</si>
  <si>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</si>
  <si>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</si>
  <si>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</si>
  <si>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</si>
  <si>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</si>
  <si>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</si>
  <si>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</si>
  <si>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</si>
  <si>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</si>
  <si>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</si>
  <si>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</si>
  <si>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</si>
  <si>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</si>
  <si>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</si>
  <si>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</si>
  <si>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</si>
  <si>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</si>
  <si>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</si>
  <si>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</si>
  <si>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</si>
  <si>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</si>
  <si>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</si>
  <si>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</si>
  <si>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</si>
  <si>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</si>
  <si>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</si>
  <si>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</si>
  <si>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</si>
  <si>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</si>
  <si>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</si>
  <si>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</si>
  <si>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</si>
  <si>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</si>
  <si>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</si>
  <si>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</si>
  <si>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</si>
  <si>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</si>
  <si>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</si>
  <si>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</si>
  <si>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</si>
  <si>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</si>
  <si>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</si>
  <si>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</si>
  <si>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</si>
  <si>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</si>
  <si>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</si>
  <si>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</si>
  <si>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</si>
  <si>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</si>
  <si>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</si>
  <si>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</si>
  <si>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</si>
  <si>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</si>
  <si>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</si>
  <si>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</si>
  <si>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</si>
  <si>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</si>
  <si>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</si>
  <si>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</si>
  <si>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</si>
  <si>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</si>
  <si>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</si>
  <si>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</si>
  <si>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</si>
  <si>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</si>
  <si>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</si>
  <si>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</si>
  <si>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</si>
  <si>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</si>
  <si>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</si>
  <si>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</si>
  <si>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</si>
  <si>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</si>
  <si>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</si>
  <si>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</si>
  <si>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</si>
  <si>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</si>
  <si>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</si>
  <si>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</si>
  <si>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</si>
  <si>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</si>
  <si>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</si>
  <si>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</si>
  <si>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</si>
  <si>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</si>
  <si>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</si>
  <si>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</si>
  <si>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</si>
  <si>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</si>
  <si>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</si>
  <si>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</si>
  <si>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</si>
  <si>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</si>
  <si>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</si>
  <si>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</si>
  <si>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</si>
  <si>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</si>
  <si>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</si>
  <si>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</si>
  <si>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</si>
  <si>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</si>
  <si>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</si>
  <si>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</si>
  <si>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</si>
  <si>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</si>
  <si>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</si>
  <si>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</si>
  <si>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</si>
  <si>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</si>
  <si>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</si>
  <si>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</si>
  <si>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</si>
  <si>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</si>
  <si>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</si>
  <si>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</si>
  <si>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</si>
  <si>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</si>
  <si>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</si>
  <si>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</si>
  <si>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</si>
  <si>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</si>
  <si>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</si>
  <si>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</si>
  <si>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</si>
  <si>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</si>
  <si>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</si>
  <si>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</si>
  <si>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</si>
  <si>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</si>
  <si>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</si>
  <si>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</si>
  <si>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</si>
  <si>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</si>
  <si>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</si>
  <si>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</si>
  <si>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</si>
  <si>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</si>
  <si>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</si>
  <si>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</si>
  <si>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</si>
  <si>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</si>
  <si>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</si>
  <si>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</si>
  <si>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</si>
  <si>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</si>
  <si>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</si>
  <si>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</si>
  <si>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</si>
  <si>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</si>
  <si>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</si>
  <si>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</si>
  <si>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</si>
  <si>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</si>
  <si>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</si>
  <si>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</si>
  <si>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</si>
  <si>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</si>
  <si>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</si>
  <si>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</si>
  <si>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</si>
  <si>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</si>
  <si>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</si>
  <si>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</si>
  <si>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</si>
  <si>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</si>
  <si>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</si>
  <si>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</si>
  <si>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</si>
  <si>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</si>
  <si>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</si>
  <si>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</si>
  <si>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</si>
  <si>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</si>
  <si>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</si>
  <si>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</si>
  <si>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</si>
  <si>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</si>
  <si>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</si>
  <si>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</si>
  <si>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</si>
  <si>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</si>
  <si>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</si>
  <si>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</si>
  <si>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</si>
  <si>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</si>
  <si>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</si>
  <si>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</si>
  <si>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</si>
  <si>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</si>
  <si>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</si>
  <si>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</si>
  <si>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</si>
  <si>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</si>
  <si>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</si>
  <si>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</si>
  <si>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</si>
  <si>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</si>
  <si>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</si>
  <si>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</si>
  <si>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</si>
  <si>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</si>
  <si>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</si>
  <si>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</si>
  <si>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</si>
  <si>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</si>
  <si>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</si>
  <si>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</si>
  <si>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</si>
  <si>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</si>
  <si>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</si>
  <si>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</si>
  <si>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</si>
  <si>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</si>
  <si>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</si>
  <si>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</si>
  <si>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</si>
  <si>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</si>
  <si>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</si>
  <si>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</si>
  <si>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</si>
  <si>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</si>
  <si>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</si>
  <si>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</si>
  <si>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</si>
  <si>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</si>
  <si>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</si>
  <si>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</si>
  <si>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</si>
  <si>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</si>
  <si>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</si>
  <si>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</si>
  <si>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</si>
  <si>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</si>
  <si>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</si>
  <si>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</si>
  <si>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</si>
  <si>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</si>
  <si>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</si>
  <si>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</si>
  <si>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</si>
  <si>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</si>
  <si>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</si>
  <si>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</si>
  <si>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</si>
  <si>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</si>
  <si>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</si>
  <si>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</si>
  <si>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</si>
  <si>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</si>
  <si>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</si>
  <si>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</si>
  <si>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</si>
  <si>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</si>
  <si>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</si>
  <si>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</si>
  <si>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</si>
  <si>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</si>
  <si>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</si>
  <si>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</si>
  <si>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</si>
  <si>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</si>
  <si>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</si>
  <si>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</si>
  <si>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</si>
  <si>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</si>
  <si>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</si>
  <si>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</si>
  <si>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</si>
  <si>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</si>
  <si>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</si>
  <si>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</si>
  <si>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</si>
  <si>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</si>
  <si>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</si>
  <si>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</si>
  <si>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</si>
  <si>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</si>
  <si>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</si>
  <si>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</si>
  <si>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</si>
  <si>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</si>
  <si>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</si>
  <si>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</si>
  <si>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</si>
  <si>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</si>
  <si>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</si>
  <si>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</si>
  <si>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</si>
  <si>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</si>
  <si>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</si>
  <si>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</si>
  <si>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</si>
  <si>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</si>
  <si>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</si>
  <si>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</si>
  <si>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</si>
  <si>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</si>
  <si>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</si>
  <si>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</si>
  <si>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</si>
  <si>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</si>
  <si>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</si>
  <si>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</si>
  <si>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</si>
  <si>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</si>
  <si>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</si>
  <si>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</si>
  <si>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</si>
  <si>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</si>
  <si>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</si>
  <si>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</si>
  <si>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</si>
  <si>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</si>
  <si>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</si>
  <si>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</si>
  <si>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</si>
  <si>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</si>
  <si>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</si>
  <si>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</si>
  <si>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</si>
  <si>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</si>
  <si>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</si>
  <si>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</si>
  <si>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</si>
  <si>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</si>
  <si>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</si>
  <si>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</si>
  <si>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</si>
  <si>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</si>
  <si>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</si>
  <si>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</si>
  <si>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</si>
  <si>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</si>
  <si>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</si>
  <si>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</si>
  <si>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</si>
  <si>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</si>
  <si>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</si>
  <si>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</si>
  <si>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</si>
  <si>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</si>
  <si>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</si>
  <si>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</si>
  <si>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</si>
  <si>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</si>
  <si>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</si>
  <si>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</si>
  <si>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</si>
  <si>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</si>
  <si>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</si>
  <si>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</si>
  <si>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</si>
  <si>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</si>
  <si>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</si>
  <si>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</si>
  <si>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</si>
  <si>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</si>
  <si>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</si>
  <si>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</si>
  <si>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</si>
  <si>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</si>
  <si>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</si>
  <si>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</si>
  <si>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</si>
  <si>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</si>
  <si>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</si>
  <si>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</si>
  <si>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</si>
  <si>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</si>
  <si>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</si>
  <si>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</si>
  <si>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</si>
  <si>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</si>
  <si>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</si>
  <si>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</si>
  <si>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</si>
  <si>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</si>
  <si>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</si>
  <si>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</si>
  <si>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</si>
  <si>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</si>
  <si>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</si>
  <si>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</si>
  <si>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</si>
  <si>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</si>
  <si>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</si>
  <si>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</si>
  <si>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</si>
  <si>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</si>
  <si>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</si>
  <si>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</si>
  <si>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</si>
  <si>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</si>
  <si>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</si>
  <si>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</si>
  <si>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</si>
  <si>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</si>
  <si>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</si>
  <si>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</si>
  <si>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</si>
  <si>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</si>
  <si>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</si>
  <si>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</si>
  <si>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</si>
  <si>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</si>
  <si>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</si>
  <si>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</si>
  <si>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</si>
  <si>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</si>
  <si>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</si>
  <si>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</si>
  <si>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</si>
  <si>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</si>
  <si>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</si>
  <si>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</si>
  <si>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</si>
  <si>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</si>
  <si>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</si>
  <si>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</si>
  <si>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</si>
  <si>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</si>
  <si>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</si>
  <si>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</si>
  <si>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</si>
  <si>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</si>
  <si>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</si>
  <si>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</si>
  <si>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</si>
  <si>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</si>
  <si>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</si>
  <si>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</si>
  <si>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</si>
  <si>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</si>
  <si>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</si>
  <si>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</si>
  <si>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</si>
  <si>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</si>
  <si>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</si>
  <si>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</si>
  <si>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</si>
  <si>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</si>
  <si>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</si>
  <si>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</si>
  <si>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</si>
  <si>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</si>
  <si>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</si>
  <si>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</si>
  <si>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</si>
  <si>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</si>
  <si>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</si>
  <si>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</si>
  <si>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</si>
  <si>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</si>
  <si>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</si>
  <si>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</si>
  <si>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</si>
  <si>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</si>
  <si>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</si>
  <si>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</si>
  <si>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</si>
  <si>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</si>
  <si>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</si>
  <si>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</si>
  <si>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</si>
  <si>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</si>
  <si>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</si>
  <si>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</si>
  <si>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</si>
  <si>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</si>
  <si>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</si>
  <si>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</si>
  <si>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</si>
  <si>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</si>
  <si>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</si>
  <si>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</si>
  <si>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</si>
  <si>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</si>
  <si>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</si>
  <si>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</si>
  <si>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</si>
  <si>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</si>
  <si>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</si>
  <si>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</si>
  <si>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</si>
  <si>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</si>
  <si>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</si>
  <si>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</si>
  <si>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</si>
  <si>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</si>
  <si>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</si>
  <si>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</si>
  <si>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</si>
  <si>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</si>
  <si>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</si>
  <si>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</si>
  <si>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</si>
  <si>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</si>
  <si>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</si>
  <si>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</si>
  <si>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</si>
  <si>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</si>
  <si>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</si>
  <si>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</si>
  <si>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</si>
  <si>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</si>
  <si>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</si>
  <si>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</si>
  <si>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</si>
  <si>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</si>
  <si>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</si>
  <si>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</si>
  <si>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</si>
  <si>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</si>
  <si>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</si>
  <si>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</si>
  <si>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</si>
  <si>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</si>
  <si>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</si>
  <si>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</si>
  <si>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</si>
  <si>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</si>
  <si>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</si>
  <si>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</si>
  <si>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</si>
  <si>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</si>
  <si>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</si>
  <si>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</si>
  <si>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</si>
  <si>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</si>
  <si>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</si>
  <si>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</si>
  <si>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</si>
  <si>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</si>
  <si>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</si>
  <si>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</si>
  <si>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</si>
  <si>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</si>
  <si>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</si>
  <si>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</si>
  <si>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</si>
  <si>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</si>
  <si>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</si>
  <si>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</si>
  <si>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</si>
  <si>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</si>
  <si>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</si>
  <si>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</si>
  <si>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</si>
  <si>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</si>
  <si>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</si>
  <si>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</si>
  <si>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</si>
  <si>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</si>
  <si>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</si>
  <si>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</si>
  <si>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</si>
  <si>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</si>
  <si>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</si>
  <si>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</si>
  <si>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</si>
  <si>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</si>
  <si>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</si>
  <si>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</si>
  <si>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</si>
  <si>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</si>
  <si>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</si>
  <si>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</si>
  <si>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</si>
  <si>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</si>
  <si>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</si>
  <si>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</si>
  <si>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</si>
  <si>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</si>
  <si>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</si>
  <si>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</si>
  <si>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</si>
  <si>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</si>
  <si>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</si>
  <si>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</si>
  <si>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</si>
  <si>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</si>
  <si>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</si>
  <si>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</si>
  <si>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</si>
  <si>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</si>
  <si>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</si>
  <si>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</si>
  <si>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</si>
  <si>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</si>
  <si>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</si>
  <si>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</si>
  <si>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</si>
  <si>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</si>
  <si>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</si>
  <si>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</si>
  <si>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</si>
  <si>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</si>
  <si>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</si>
  <si>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</si>
  <si>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</si>
  <si>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</si>
  <si>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</si>
  <si>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</si>
  <si>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</si>
  <si>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</si>
  <si>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</si>
  <si>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</si>
  <si>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</si>
  <si>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</si>
  <si>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</si>
  <si>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</si>
  <si>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</si>
  <si>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</si>
  <si>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</si>
  <si>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</si>
  <si>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</si>
  <si>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</si>
  <si>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</si>
  <si>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</si>
  <si>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</si>
  <si>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</si>
  <si>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</si>
  <si>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</si>
  <si>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</si>
  <si>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</si>
  <si>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</si>
  <si>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</si>
  <si>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</si>
  <si>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</si>
  <si>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</si>
  <si>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</si>
  <si>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</si>
  <si>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</si>
  <si>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</si>
  <si>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</si>
  <si>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</si>
  <si>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</si>
  <si>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</si>
  <si>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</si>
  <si>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</si>
  <si>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</si>
  <si>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</si>
  <si>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</si>
  <si>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</si>
  <si>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</si>
  <si>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</si>
  <si>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</si>
  <si>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</si>
  <si>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</si>
  <si>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</si>
  <si>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</si>
  <si>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</si>
  <si>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</si>
  <si>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</si>
  <si>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</si>
  <si>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</si>
  <si>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</si>
  <si>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</si>
  <si>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</si>
  <si>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</si>
  <si>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</si>
  <si>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</si>
  <si>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</si>
  <si>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</si>
  <si>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</si>
  <si>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</si>
  <si>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</si>
  <si>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</si>
  <si>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</si>
  <si>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</si>
  <si>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</si>
  <si>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</si>
  <si>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</si>
  <si>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</si>
  <si>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</si>
  <si>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</si>
  <si>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</si>
  <si>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</si>
  <si>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</si>
  <si>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</si>
  <si>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</si>
  <si>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</si>
  <si>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</si>
  <si>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</si>
  <si>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</si>
  <si>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</si>
  <si>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</si>
  <si>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</si>
  <si>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</si>
  <si>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</si>
  <si>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</si>
  <si>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</si>
  <si>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</si>
  <si>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</si>
  <si>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</si>
  <si>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</si>
  <si>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</si>
  <si>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</si>
  <si>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</si>
  <si>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</si>
  <si>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</si>
  <si>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</si>
  <si>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</si>
  <si>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</si>
  <si>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</si>
  <si>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</si>
  <si>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</si>
  <si>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</si>
  <si>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</si>
  <si>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</si>
  <si>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</si>
  <si>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</si>
  <si>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</si>
  <si>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</si>
  <si>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</si>
  <si>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</si>
  <si>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</si>
  <si>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</si>
  <si>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</si>
  <si>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</si>
  <si>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</si>
  <si>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</si>
  <si>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</si>
  <si>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</si>
  <si>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</si>
  <si>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</si>
  <si>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</si>
  <si>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</si>
  <si>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</si>
  <si>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</si>
  <si>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</si>
  <si>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</si>
  <si>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</si>
  <si>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</si>
  <si>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</si>
  <si>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</si>
  <si>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</si>
  <si>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</si>
  <si>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</si>
  <si>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</si>
  <si>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</si>
  <si>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</si>
  <si>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</si>
  <si>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</si>
  <si>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</si>
  <si>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</si>
  <si>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</si>
  <si>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</si>
  <si>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</si>
  <si>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</si>
  <si>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</si>
  <si>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</si>
  <si>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</si>
  <si>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</si>
  <si>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</si>
  <si>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</si>
  <si>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</si>
  <si>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</si>
  <si>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</si>
  <si>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</si>
  <si>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</si>
  <si>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</si>
  <si>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</si>
  <si>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</si>
  <si>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</si>
  <si>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</si>
  <si>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</si>
  <si>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</si>
  <si>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</si>
  <si>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</si>
  <si>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</si>
  <si>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</si>
  <si>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</si>
  <si>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</si>
  <si>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</si>
  <si>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</si>
  <si>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</si>
  <si>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</si>
  <si>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</si>
  <si>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</si>
  <si>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</si>
  <si>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</si>
  <si>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</si>
  <si>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</si>
  <si>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</si>
  <si>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</si>
  <si>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</si>
  <si>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</si>
  <si>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</si>
  <si>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</si>
  <si>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</si>
  <si>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</si>
  <si>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</si>
  <si>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</si>
  <si>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</si>
  <si>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</si>
  <si>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</si>
  <si>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</si>
  <si>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</si>
  <si>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</si>
  <si>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</si>
  <si>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</si>
  <si>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</si>
  <si>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</si>
  <si>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</si>
  <si>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</si>
  <si>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</si>
  <si>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</si>
  <si>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</si>
  <si>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</si>
  <si>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</si>
  <si>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</si>
  <si>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</si>
  <si>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</si>
  <si>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</si>
  <si>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</si>
  <si>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</si>
  <si>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</si>
  <si>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</si>
  <si>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</si>
  <si>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</si>
  <si>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</si>
  <si>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</si>
  <si>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</si>
  <si>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</si>
  <si>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</si>
  <si>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</si>
  <si>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</si>
  <si>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</si>
  <si>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</si>
  <si>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</si>
  <si>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</si>
  <si>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</si>
  <si>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</si>
  <si>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</si>
  <si>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</si>
  <si>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</si>
  <si>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</si>
  <si>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</si>
  <si>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</si>
  <si>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</si>
  <si>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</si>
  <si>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</si>
  <si>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</si>
  <si>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</si>
  <si>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</si>
  <si>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</si>
  <si>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</si>
  <si>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</si>
  <si>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</si>
  <si>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</si>
  <si>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</si>
  <si>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</si>
  <si>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</si>
  <si>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</si>
  <si>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</si>
  <si>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</si>
  <si>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</si>
  <si>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</si>
  <si>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</si>
  <si>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</si>
  <si>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</si>
  <si>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</si>
  <si>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</si>
  <si>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</si>
  <si>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</si>
  <si>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</si>
  <si>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</si>
  <si>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</si>
  <si>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</si>
  <si>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</si>
  <si>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</si>
  <si>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</si>
  <si>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</si>
  <si>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</si>
  <si>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</si>
  <si>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</si>
  <si>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</si>
  <si>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</si>
  <si>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</si>
  <si>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</si>
  <si>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</si>
  <si>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</si>
  <si>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</si>
  <si>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</si>
  <si>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</si>
  <si>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</si>
  <si>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</si>
  <si>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</si>
  <si>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</si>
  <si>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</si>
  <si>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</si>
  <si>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</si>
  <si>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</si>
  <si>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</si>
  <si>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</si>
  <si>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</si>
  <si>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</si>
  <si>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</si>
  <si>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</si>
  <si>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</si>
  <si>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</si>
  <si>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</si>
  <si>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</si>
  <si>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</si>
  <si>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</si>
  <si>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</si>
  <si>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</si>
  <si>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</si>
  <si>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</si>
  <si>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</si>
  <si>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</si>
  <si>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</si>
  <si>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</si>
  <si>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</si>
  <si>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</si>
  <si>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</si>
  <si>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</si>
  <si>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</si>
  <si>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</si>
  <si>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</si>
  <si>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</si>
  <si>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</si>
  <si>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</si>
  <si>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</si>
  <si>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</si>
  <si>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</si>
  <si>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</si>
  <si>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</si>
  <si>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</si>
  <si>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</si>
  <si>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</si>
  <si>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</si>
  <si>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</si>
  <si>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</si>
  <si>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</si>
  <si>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</si>
  <si>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</si>
  <si>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</si>
  <si>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</si>
  <si>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</si>
  <si>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</si>
  <si>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</si>
  <si>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</si>
  <si>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</si>
  <si>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</si>
  <si>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</si>
  <si>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</si>
  <si>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</si>
  <si>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</si>
  <si>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</si>
  <si>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</si>
  <si>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</si>
  <si>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</si>
  <si>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</si>
  <si>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</si>
  <si>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</si>
  <si>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</si>
  <si>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</si>
  <si>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</si>
  <si>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</si>
  <si>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</si>
  <si>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</si>
  <si>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</si>
  <si>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</si>
  <si>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</si>
  <si>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</si>
  <si>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</si>
  <si>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</si>
  <si>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</si>
  <si>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</si>
  <si>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</si>
  <si>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</si>
  <si>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</si>
  <si>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</si>
  <si>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</si>
  <si>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</si>
  <si>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</si>
  <si>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</si>
  <si>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</si>
  <si>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</si>
  <si>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</si>
  <si>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</si>
  <si>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</si>
  <si>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</si>
  <si>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</si>
  <si>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</si>
  <si>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</si>
  <si>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</si>
  <si>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</si>
  <si>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</si>
  <si>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</si>
  <si>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</si>
  <si>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</si>
  <si>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</si>
  <si>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</si>
  <si>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</si>
  <si>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</si>
  <si>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</si>
  <si>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</si>
  <si>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</si>
  <si>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</si>
  <si>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</si>
  <si>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</si>
  <si>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</si>
  <si>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</si>
  <si>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</si>
  <si>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</si>
  <si>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</si>
  <si>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</si>
  <si>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</si>
  <si>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</si>
  <si>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</si>
  <si>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</si>
  <si>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</si>
  <si>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</si>
  <si>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</si>
  <si>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</si>
  <si>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</si>
  <si>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</si>
  <si>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</si>
  <si>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</si>
  <si>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</si>
  <si>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</si>
  <si>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</si>
  <si>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</si>
  <si>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</si>
  <si>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</si>
  <si>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</si>
  <si>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</si>
  <si>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</si>
  <si>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</si>
  <si>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</si>
  <si>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</si>
  <si>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</si>
  <si>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</si>
  <si>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</si>
  <si>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</si>
  <si>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</si>
  <si>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</si>
  <si>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</si>
  <si>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</si>
  <si>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</si>
  <si>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</si>
  <si>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</si>
  <si>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</si>
  <si>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</si>
  <si>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</si>
  <si>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</si>
  <si>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</si>
  <si>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</si>
  <si>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</si>
  <si>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</si>
  <si>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</si>
  <si>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</si>
  <si>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</si>
  <si>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</si>
  <si>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</si>
  <si>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</si>
  <si>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</si>
  <si>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</si>
  <si>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</si>
  <si>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</si>
  <si>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</si>
  <si>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</si>
  <si>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</si>
  <si>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</si>
  <si>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</si>
  <si>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</si>
  <si>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</si>
  <si>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</si>
  <si>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</si>
  <si>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</si>
  <si>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</si>
  <si>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</si>
  <si>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</si>
  <si>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</si>
  <si>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</si>
  <si>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</si>
  <si>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</si>
  <si>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</si>
  <si>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</si>
  <si>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</si>
  <si>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</si>
  <si>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</si>
  <si>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</si>
  <si>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</si>
  <si>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</si>
  <si>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</si>
  <si>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</si>
  <si>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</si>
  <si>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</si>
  <si>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</si>
  <si>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</si>
  <si>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</si>
  <si>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</si>
  <si>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</si>
  <si>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</si>
  <si>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</si>
  <si>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</si>
  <si>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</si>
  <si>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</si>
  <si>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</si>
  <si>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</si>
  <si>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</si>
  <si>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</si>
  <si>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</si>
  <si>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</si>
  <si>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</si>
  <si>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</si>
  <si>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</si>
  <si>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</si>
  <si>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</si>
  <si>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</si>
  <si>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</si>
  <si>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</si>
  <si>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</si>
  <si>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</si>
  <si>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</si>
  <si>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</si>
  <si>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</si>
  <si>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</si>
  <si>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</si>
  <si>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</si>
  <si>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</si>
  <si>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</si>
  <si>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</si>
  <si>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</si>
  <si>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</si>
  <si>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</si>
  <si>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</si>
  <si>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</si>
  <si>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</si>
  <si>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</si>
  <si>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</si>
  <si>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</si>
  <si>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</si>
  <si>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</si>
  <si>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</si>
  <si>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</si>
  <si>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</si>
  <si>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</si>
  <si>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</si>
  <si>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</si>
  <si>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</si>
  <si>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</si>
  <si>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</si>
  <si>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</si>
  <si>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</si>
  <si>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</si>
  <si>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</si>
  <si>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</si>
  <si>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</si>
  <si>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</si>
  <si>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</si>
  <si>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</si>
  <si>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</si>
  <si>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</si>
  <si>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</si>
  <si>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</si>
  <si>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</si>
  <si>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</si>
  <si>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</si>
  <si>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</si>
  <si>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</si>
  <si>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</si>
  <si>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</si>
  <si>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</si>
  <si>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</si>
  <si>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</si>
  <si>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</si>
  <si>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</si>
  <si>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</si>
  <si>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</si>
  <si>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</si>
  <si>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</si>
  <si>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</si>
  <si>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</si>
  <si>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</si>
  <si>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</si>
  <si>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</si>
  <si>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</si>
  <si>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</si>
  <si>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</si>
  <si>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</si>
  <si>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</si>
  <si>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</si>
  <si>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</si>
  <si>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</si>
  <si>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</si>
  <si>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</si>
  <si>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</si>
  <si>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</si>
  <si>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</si>
  <si>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</si>
  <si>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</si>
  <si>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</si>
  <si>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</si>
  <si>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</si>
  <si>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</si>
  <si>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</si>
  <si>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</si>
  <si>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</si>
  <si>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</si>
  <si>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</si>
  <si>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</si>
  <si>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</si>
  <si>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</si>
  <si>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</si>
  <si>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</si>
  <si>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</si>
  <si>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</si>
  <si>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</si>
  <si>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</si>
  <si>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</si>
  <si>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</si>
  <si>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</si>
  <si>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</si>
  <si>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</si>
  <si>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</si>
  <si>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</si>
  <si>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</si>
  <si>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</si>
  <si>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</si>
  <si>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</si>
  <si>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</si>
  <si>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</si>
  <si>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</si>
  <si>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</si>
  <si>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</si>
  <si>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</si>
  <si>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</si>
  <si>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</si>
  <si>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</si>
  <si>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</si>
  <si>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</si>
  <si>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</si>
  <si>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</si>
  <si>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</si>
  <si>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</si>
  <si>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</si>
  <si>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</si>
  <si>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</si>
  <si>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</si>
  <si>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</si>
  <si>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</si>
  <si>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</si>
  <si>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</si>
  <si>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</si>
  <si>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</si>
  <si>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</si>
  <si>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</si>
  <si>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</si>
  <si>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</si>
  <si>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</si>
  <si>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</si>
  <si>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</si>
  <si>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</si>
  <si>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</si>
  <si>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</si>
  <si>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</si>
  <si>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</si>
  <si>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</si>
  <si>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</si>
  <si>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</si>
  <si>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</si>
  <si>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</si>
  <si>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</si>
  <si>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</si>
  <si>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</si>
  <si>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</si>
  <si>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</si>
  <si>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</si>
  <si>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</si>
  <si>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</si>
  <si>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</si>
  <si>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</si>
  <si>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</si>
  <si>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</si>
  <si>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</si>
  <si>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</si>
  <si>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</si>
  <si>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</si>
  <si>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</si>
  <si>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</si>
  <si>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</si>
  <si>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</si>
  <si>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</si>
  <si>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</si>
  <si>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</si>
  <si>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</si>
  <si>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</si>
  <si>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</si>
  <si>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</si>
  <si>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</si>
  <si>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</si>
  <si>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</si>
  <si>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</si>
  <si>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</si>
  <si>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</si>
  <si>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</si>
  <si>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</si>
  <si>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</si>
  <si>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</si>
  <si>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</si>
  <si>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</si>
  <si>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</si>
  <si>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</si>
  <si>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</si>
  <si>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</si>
  <si>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</si>
  <si>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</si>
  <si>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</si>
  <si>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</si>
  <si>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</si>
  <si>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</si>
  <si>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</si>
  <si>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</si>
  <si>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</si>
  <si>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</si>
  <si>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</si>
  <si>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</si>
  <si>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</si>
  <si>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</si>
  <si>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</si>
  <si>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</si>
  <si>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</si>
  <si>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</si>
  <si>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</si>
  <si>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</si>
  <si>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</si>
  <si>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</si>
  <si>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</si>
  <si>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</si>
  <si>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</si>
  <si>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</si>
  <si>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</si>
  <si>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</si>
  <si>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</si>
  <si>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</si>
  <si>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</si>
  <si>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</si>
  <si>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</si>
  <si>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</si>
  <si>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</si>
  <si>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</si>
  <si>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</si>
  <si>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</si>
  <si>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</si>
  <si>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</si>
  <si>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</si>
  <si>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</si>
  <si>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</si>
  <si>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</si>
  <si>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</si>
  <si>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</si>
  <si>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</si>
  <si>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</si>
  <si>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</si>
  <si>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</si>
  <si>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</si>
  <si>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</si>
  <si>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</si>
  <si>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</si>
  <si>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</si>
  <si>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</si>
  <si>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</si>
  <si>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</si>
  <si>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</si>
  <si>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</si>
  <si>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</si>
  <si>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</si>
  <si>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</si>
  <si>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</si>
  <si>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</si>
  <si>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</si>
  <si>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</si>
  <si>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</si>
  <si>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</si>
  <si>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</si>
  <si>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</si>
  <si>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</si>
  <si>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</si>
  <si>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</si>
  <si>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</si>
  <si>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</si>
  <si>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</si>
  <si>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</si>
  <si>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</si>
  <si>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</si>
  <si>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</si>
  <si>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</si>
  <si>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</si>
  <si>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</si>
  <si>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</si>
  <si>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</si>
  <si>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</si>
  <si>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</si>
  <si>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</si>
  <si>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</si>
  <si>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</si>
  <si>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</si>
  <si>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</si>
  <si>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</si>
  <si>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</si>
  <si>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</si>
  <si>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</si>
  <si>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</si>
  <si>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</si>
  <si>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</si>
  <si>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</si>
  <si>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</si>
  <si>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</si>
  <si>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</si>
  <si>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</si>
  <si>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</si>
  <si>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</si>
  <si>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</si>
  <si>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</si>
  <si>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</si>
  <si>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</si>
  <si>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</si>
  <si>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</si>
  <si>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</si>
  <si>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</si>
  <si>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</si>
  <si>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</si>
  <si>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</si>
  <si>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</si>
  <si>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</si>
  <si>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</si>
  <si>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</si>
  <si>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</si>
  <si>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</si>
  <si>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</si>
  <si>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</si>
  <si>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</si>
  <si>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</si>
  <si>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</si>
  <si>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</si>
  <si>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</si>
  <si>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</si>
  <si>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</si>
  <si>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</si>
  <si>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</si>
  <si>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</si>
  <si>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</si>
  <si>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</si>
  <si>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</si>
  <si>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</si>
  <si>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</si>
  <si>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</si>
  <si>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</si>
  <si>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</si>
  <si>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</si>
  <si>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</si>
  <si>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</si>
  <si>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</si>
  <si>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</si>
  <si>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</si>
  <si>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</si>
  <si>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</si>
  <si>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</si>
  <si>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</si>
  <si>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</si>
  <si>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</si>
  <si>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</si>
  <si>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</si>
  <si>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</si>
  <si>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</si>
  <si>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</si>
  <si>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</si>
  <si>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</si>
  <si>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</si>
  <si>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</si>
  <si>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</si>
  <si>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</si>
  <si>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</si>
  <si>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</si>
  <si>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</si>
  <si>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</si>
  <si>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</si>
  <si>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</si>
  <si>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</si>
  <si>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</si>
  <si>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</si>
  <si>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</si>
  <si>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</si>
  <si>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</si>
  <si>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</si>
  <si>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</si>
  <si>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</si>
  <si>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</si>
  <si>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</si>
  <si>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</si>
  <si>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</si>
  <si>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</si>
  <si>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</si>
  <si>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</si>
  <si>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</si>
  <si>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</si>
  <si>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</si>
  <si>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</si>
  <si>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</si>
  <si>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</si>
  <si>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</si>
  <si>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</si>
  <si>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</si>
  <si>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</si>
  <si>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</si>
  <si>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</si>
  <si>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</si>
  <si>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</si>
  <si>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</si>
  <si>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</si>
  <si>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</si>
  <si>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</si>
  <si>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</si>
  <si>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</si>
  <si>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</si>
  <si>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</si>
  <si>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</si>
  <si>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</si>
  <si>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</si>
  <si>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</si>
  <si>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</si>
  <si>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</si>
  <si>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</si>
  <si>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</si>
  <si>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</si>
  <si>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</si>
  <si>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</si>
  <si>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</si>
  <si>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</si>
  <si>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</si>
  <si>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</si>
  <si>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</si>
  <si>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</si>
  <si>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</si>
  <si>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</si>
  <si>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</si>
  <si>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</si>
  <si>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</si>
  <si>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</si>
  <si>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</si>
  <si>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</si>
  <si>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</si>
  <si>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</si>
  <si>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</si>
  <si>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</si>
  <si>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</si>
  <si>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</si>
  <si>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</si>
  <si>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</si>
  <si>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</si>
  <si>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</si>
  <si>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</si>
  <si>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</si>
  <si>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</si>
  <si>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</si>
  <si>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</si>
  <si>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</si>
  <si>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</si>
  <si>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</si>
  <si>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</si>
  <si>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</si>
  <si>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</si>
  <si>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</si>
  <si>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</si>
  <si>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</si>
  <si>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</si>
  <si>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</si>
  <si>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</si>
  <si>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</si>
  <si>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</si>
  <si>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</si>
  <si>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</si>
  <si>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</si>
  <si>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</si>
  <si>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</si>
  <si>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</si>
  <si>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</si>
  <si>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</si>
  <si>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</si>
  <si>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</si>
  <si>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</si>
  <si>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</si>
  <si>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</si>
  <si>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</si>
  <si>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</si>
  <si>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</si>
  <si>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</si>
  <si>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</si>
  <si>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</si>
  <si>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</si>
  <si>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</si>
  <si>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</si>
  <si>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</si>
  <si>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</si>
  <si>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</si>
  <si>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</si>
  <si>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</si>
  <si>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</si>
  <si>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</si>
  <si>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</si>
  <si>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</si>
  <si>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</si>
  <si>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</si>
  <si>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</si>
  <si>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</si>
  <si>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</si>
  <si>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</si>
  <si>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</si>
  <si>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</si>
  <si>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</si>
  <si>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</si>
  <si>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</si>
  <si>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</si>
  <si>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</si>
  <si>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</si>
  <si>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</si>
  <si>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</si>
  <si>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</si>
  <si>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</si>
  <si>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</si>
  <si>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</si>
  <si>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</si>
  <si>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</si>
  <si>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</si>
  <si>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</si>
  <si>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</si>
  <si>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</si>
  <si>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</si>
  <si>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</si>
  <si>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</si>
  <si>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</si>
  <si>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</si>
  <si>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</si>
  <si>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</si>
  <si>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</si>
  <si>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</si>
  <si>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</si>
  <si>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</si>
  <si>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</si>
  <si>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</si>
  <si>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</si>
  <si>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</si>
  <si>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</si>
  <si>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</si>
  <si>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</si>
  <si>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</si>
  <si>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</si>
  <si>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</si>
  <si>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</si>
  <si>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</si>
  <si>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</si>
  <si>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</si>
  <si>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</si>
  <si>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</si>
  <si>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</si>
  <si>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</si>
  <si>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</si>
  <si>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</si>
  <si>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</si>
  <si>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</si>
  <si>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</si>
  <si>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</si>
  <si>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</si>
  <si>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</si>
  <si>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</si>
  <si>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</si>
  <si>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</si>
  <si>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</si>
  <si>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</si>
  <si>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</si>
  <si>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</si>
  <si>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</si>
  <si>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</si>
  <si>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</si>
  <si>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</si>
  <si>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</si>
  <si>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</si>
  <si>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</si>
  <si>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</si>
  <si>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</si>
  <si>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</si>
  <si>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</si>
  <si>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</si>
  <si>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</si>
  <si>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</si>
  <si>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</si>
  <si>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</si>
  <si>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</si>
  <si>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</si>
  <si>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</si>
  <si>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</si>
  <si>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</si>
  <si>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</si>
  <si>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</si>
  <si>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</si>
  <si>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</si>
  <si>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</si>
  <si>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</si>
  <si>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</si>
  <si>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</si>
  <si>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</si>
  <si>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</si>
  <si>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</si>
  <si>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</si>
  <si>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</si>
  <si>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</si>
  <si>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</si>
  <si>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</si>
  <si>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</si>
  <si>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</si>
  <si>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</si>
  <si>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</si>
  <si>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</si>
  <si>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</si>
  <si>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</si>
  <si>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</si>
  <si>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</si>
  <si>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</si>
  <si>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</si>
  <si>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</si>
  <si>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</si>
  <si>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</si>
  <si>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</si>
  <si>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</si>
  <si>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</si>
  <si>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</si>
  <si>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</si>
  <si>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</si>
  <si>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</si>
  <si>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</si>
  <si>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</si>
  <si>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</si>
  <si>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</si>
  <si>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</si>
  <si>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</si>
  <si>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</si>
  <si>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</si>
  <si>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</si>
  <si>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</si>
  <si>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</si>
  <si>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</si>
  <si>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</si>
  <si>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</si>
  <si>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</si>
  <si>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</si>
  <si>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</si>
  <si>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</si>
  <si>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</si>
  <si>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</si>
  <si>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</si>
  <si>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</si>
  <si>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</si>
  <si>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</si>
  <si>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</si>
  <si>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</si>
  <si>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</si>
  <si>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</si>
  <si>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</si>
  <si>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</si>
  <si>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</si>
  <si>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</si>
  <si>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</si>
  <si>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</si>
  <si>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</si>
  <si>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</si>
  <si>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</si>
  <si>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</si>
  <si>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</si>
  <si>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</si>
  <si>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</si>
  <si>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</si>
  <si>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</si>
  <si>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</si>
  <si>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</si>
  <si>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</si>
  <si>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</si>
  <si>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</si>
  <si>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</si>
  <si>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</si>
  <si>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</si>
  <si>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</si>
  <si>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</si>
  <si>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</si>
  <si>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</si>
  <si>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</si>
  <si>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</si>
  <si>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</si>
  <si>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</si>
  <si>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</si>
  <si>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</si>
  <si>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</si>
  <si>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</si>
  <si>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</si>
  <si>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</si>
  <si>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</si>
  <si>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</si>
  <si>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</si>
  <si>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</si>
  <si>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</si>
  <si>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</si>
  <si>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</si>
  <si>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</si>
  <si>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</si>
  <si>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</si>
  <si>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</si>
  <si>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</si>
  <si>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</si>
  <si>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</si>
  <si>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</si>
  <si>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</si>
  <si>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</si>
  <si>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</si>
  <si>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</si>
  <si>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</si>
  <si>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</si>
  <si>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</si>
  <si>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</si>
  <si>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</si>
  <si>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</si>
  <si>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</si>
  <si>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</si>
  <si>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</si>
  <si>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</si>
  <si>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</si>
  <si>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</si>
  <si>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</si>
  <si>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</si>
  <si>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</si>
  <si>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</si>
  <si>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</si>
  <si>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</si>
  <si>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</si>
  <si>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</si>
  <si>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</si>
  <si>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</si>
  <si>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</si>
  <si>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</si>
  <si>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</si>
  <si>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</si>
  <si>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</si>
  <si>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</si>
  <si>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</si>
  <si>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</si>
  <si>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</si>
  <si>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</si>
  <si>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</si>
  <si>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</si>
  <si>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</si>
  <si>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</si>
  <si>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</si>
  <si>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</si>
  <si>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</si>
  <si>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</si>
  <si>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</si>
  <si>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</si>
  <si>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</si>
  <si>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</si>
  <si>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</si>
  <si>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</si>
  <si>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</si>
  <si>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</si>
  <si>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</si>
  <si>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</si>
  <si>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</si>
  <si>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</si>
  <si>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</si>
  <si>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</si>
  <si>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</si>
  <si>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</si>
  <si>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</si>
  <si>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</si>
  <si>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</si>
  <si>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</si>
  <si>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</si>
  <si>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</si>
  <si>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</si>
  <si>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</si>
  <si>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</si>
  <si>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</si>
  <si>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</si>
  <si>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</si>
  <si>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</si>
  <si>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</si>
  <si>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</si>
  <si>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</si>
  <si>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</si>
  <si>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</si>
  <si>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</si>
  <si>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</si>
  <si>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</si>
  <si>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</si>
  <si>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</si>
  <si>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</si>
  <si>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</si>
  <si>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</si>
  <si>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</si>
  <si>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</si>
  <si>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</si>
  <si>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</si>
  <si>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</si>
  <si>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</si>
  <si>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</si>
  <si>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</si>
  <si>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</si>
  <si>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</si>
  <si>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</si>
  <si>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</si>
  <si>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</si>
  <si>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</si>
  <si>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</si>
  <si>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</si>
  <si>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</si>
  <si>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</si>
  <si>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</si>
  <si>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</si>
  <si>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</si>
  <si>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</si>
  <si>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</si>
  <si>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</si>
  <si>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</si>
  <si>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</si>
  <si>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</si>
  <si>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</si>
  <si>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</si>
  <si>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</si>
  <si>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</si>
  <si>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</si>
  <si>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</si>
  <si>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</si>
  <si>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</si>
  <si>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</si>
  <si>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</si>
  <si>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</si>
  <si>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</si>
  <si>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</si>
  <si>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</si>
  <si>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</si>
  <si>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</si>
  <si>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</si>
  <si>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</si>
  <si>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</si>
  <si>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</si>
  <si>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</si>
  <si>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</si>
  <si>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</si>
  <si>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</si>
  <si>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</si>
  <si>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</si>
  <si>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</si>
  <si>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</si>
  <si>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</si>
  <si>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</si>
  <si>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</si>
  <si>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</si>
  <si>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</si>
  <si>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</si>
  <si>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</si>
  <si>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</si>
  <si>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</si>
  <si>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</si>
  <si>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</si>
  <si>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</si>
  <si>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</si>
  <si>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</si>
  <si>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</si>
  <si>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</si>
  <si>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</si>
  <si>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</si>
  <si>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</si>
  <si>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</si>
  <si>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</si>
  <si>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</si>
  <si>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</si>
  <si>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</si>
  <si>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</si>
  <si>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</si>
  <si>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</si>
  <si>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</si>
  <si>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</si>
  <si>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</si>
  <si>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</si>
  <si>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</si>
  <si>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</si>
  <si>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</si>
  <si>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</si>
  <si>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</si>
  <si>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</si>
  <si>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</si>
  <si>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</si>
  <si>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</si>
  <si>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</si>
  <si>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</si>
  <si>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</si>
  <si>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</si>
  <si>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</si>
  <si>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</si>
  <si>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</si>
  <si>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</si>
  <si>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</si>
  <si>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</si>
  <si>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</si>
  <si>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</si>
  <si>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</si>
  <si>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</si>
  <si>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</si>
  <si>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</si>
  <si>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</si>
  <si>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</si>
  <si>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</si>
  <si>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</si>
  <si>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</si>
  <si>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</si>
  <si>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</si>
  <si>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</si>
  <si>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</si>
  <si>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</si>
  <si>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</si>
  <si>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</si>
  <si>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</si>
  <si>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</si>
  <si>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</si>
  <si>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</si>
  <si>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</si>
  <si>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</si>
  <si>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</si>
  <si>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</si>
  <si>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</si>
  <si>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</si>
  <si>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</si>
  <si>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</si>
  <si>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</si>
  <si>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</si>
  <si>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</si>
  <si>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</si>
  <si>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</si>
  <si>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</si>
  <si>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</si>
  <si>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</si>
  <si>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</si>
  <si>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</si>
  <si>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</si>
  <si>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</si>
  <si>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</si>
  <si>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</si>
  <si>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</si>
  <si>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</si>
  <si>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</si>
  <si>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</si>
  <si>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</si>
  <si>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</si>
  <si>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</si>
  <si>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</si>
  <si>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</si>
  <si>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</si>
  <si>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</si>
  <si>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</si>
  <si>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</si>
  <si>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</si>
  <si>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</si>
  <si>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</si>
  <si>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</si>
  <si>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</si>
  <si>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</si>
  <si>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</si>
  <si>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</si>
  <si>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</si>
  <si>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</si>
  <si>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</si>
  <si>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</si>
  <si>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</si>
  <si>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</si>
  <si>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</si>
  <si>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</si>
  <si>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</si>
  <si>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</si>
  <si>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</si>
  <si>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</si>
  <si>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</si>
  <si>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</si>
  <si>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</si>
  <si>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</si>
  <si>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</si>
  <si>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</si>
  <si>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</si>
  <si>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</si>
  <si>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</si>
  <si>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</si>
  <si>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</si>
  <si>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</si>
  <si>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</si>
  <si>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</si>
  <si>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</si>
  <si>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</si>
  <si>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</si>
  <si>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</si>
  <si>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</si>
  <si>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</si>
  <si>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</si>
  <si>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</si>
  <si>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</si>
  <si>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</si>
  <si>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</si>
  <si>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</si>
  <si>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</si>
  <si>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</si>
  <si>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</si>
  <si>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</si>
  <si>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</si>
  <si>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</si>
  <si>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</si>
  <si>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</si>
  <si>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</si>
  <si>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</si>
  <si>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</si>
  <si>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</si>
  <si>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</si>
  <si>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</si>
  <si>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</si>
  <si>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</si>
  <si>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</si>
  <si>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</si>
  <si>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</si>
  <si>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</si>
  <si>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</si>
  <si>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</si>
  <si>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</si>
  <si>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</si>
  <si>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</si>
  <si>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</si>
  <si>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</si>
  <si>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</si>
  <si>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</si>
  <si>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</si>
  <si>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</si>
  <si>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</si>
  <si>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</si>
  <si>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</si>
  <si>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</si>
  <si>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</si>
  <si>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</si>
  <si>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</si>
  <si>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</si>
  <si>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</si>
  <si>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</si>
  <si>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</si>
  <si>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</si>
  <si>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</si>
  <si>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</si>
  <si>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</si>
  <si>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</si>
  <si>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</si>
  <si>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</si>
  <si>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</si>
  <si>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</si>
  <si>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</si>
  <si>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</si>
  <si>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</si>
  <si>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</si>
  <si>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</si>
  <si>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</si>
  <si>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</si>
  <si>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</si>
  <si>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</si>
  <si>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</si>
  <si>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</si>
  <si>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</si>
  <si>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</si>
  <si>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</si>
  <si>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</si>
  <si>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</si>
  <si>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</si>
  <si>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</si>
  <si>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</si>
  <si>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</si>
  <si>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</si>
  <si>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</si>
  <si>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</si>
  <si>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</si>
  <si>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</si>
  <si>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</si>
  <si>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</si>
  <si>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</si>
  <si>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</si>
  <si>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</si>
  <si>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</si>
  <si>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</si>
  <si>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</si>
  <si>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</si>
  <si>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</si>
  <si>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</si>
  <si>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</si>
  <si>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</si>
  <si>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</si>
  <si>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</si>
  <si>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</si>
  <si>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</si>
  <si>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</si>
  <si>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</si>
  <si>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</si>
  <si>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</si>
  <si>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</si>
  <si>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</si>
  <si>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</si>
  <si>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</si>
  <si>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</si>
  <si>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</si>
  <si>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</si>
  <si>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</si>
  <si>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</si>
  <si>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</si>
  <si>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</si>
  <si>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</si>
  <si>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</si>
  <si>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</si>
  <si>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</si>
  <si>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</si>
  <si>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</si>
  <si>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</si>
  <si>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</si>
  <si>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</si>
  <si>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</si>
  <si>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</si>
  <si>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</si>
  <si>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</si>
  <si>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</si>
  <si>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</si>
  <si>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</si>
  <si>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</si>
  <si>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</si>
  <si>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</si>
  <si>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</si>
  <si>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</si>
  <si>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</si>
  <si>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</si>
  <si>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</si>
  <si>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</si>
  <si>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</si>
  <si>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</si>
  <si>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</si>
  <si>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</si>
  <si>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</si>
  <si>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</si>
  <si>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</si>
  <si>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</si>
  <si>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</si>
  <si>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</si>
  <si>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</si>
  <si>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</si>
  <si>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</si>
  <si>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</si>
  <si>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</si>
  <si>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</si>
  <si>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</si>
  <si>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</si>
  <si>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</si>
  <si>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</si>
  <si>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</si>
  <si>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</si>
  <si>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</si>
  <si>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</si>
  <si>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</si>
  <si>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</si>
  <si>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</si>
  <si>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</si>
  <si>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</si>
  <si>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</si>
  <si>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</si>
  <si>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</si>
  <si>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</si>
  <si>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</si>
  <si>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</si>
  <si>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</si>
  <si>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</si>
  <si>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</si>
  <si>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</si>
  <si>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</si>
  <si>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</si>
  <si>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</si>
  <si>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</si>
  <si>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</si>
  <si>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</si>
  <si>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</si>
  <si>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</si>
  <si>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</si>
  <si>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</si>
  <si>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</si>
  <si>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</si>
  <si>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</si>
  <si>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</si>
  <si>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</si>
  <si>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</si>
  <si>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</si>
  <si>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</si>
  <si>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</si>
  <si>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</si>
  <si>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</si>
  <si>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</si>
  <si>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</si>
  <si>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</si>
  <si>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</si>
  <si>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</si>
  <si>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</si>
  <si>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</si>
  <si>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</si>
  <si>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</si>
  <si>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</si>
  <si>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</si>
  <si>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</si>
  <si>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</si>
  <si>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</si>
  <si>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</si>
  <si>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</si>
  <si>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</si>
  <si>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</si>
  <si>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</si>
  <si>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</si>
  <si>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</si>
  <si>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</si>
  <si>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</si>
  <si>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</si>
  <si>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</si>
  <si>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</si>
  <si>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</si>
  <si>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</si>
  <si>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</si>
  <si>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</si>
  <si>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</si>
  <si>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</si>
  <si>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</si>
  <si>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</si>
  <si>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</si>
  <si>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</si>
  <si>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</si>
  <si>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</si>
  <si>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</si>
  <si>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</si>
  <si>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</si>
  <si>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</si>
  <si>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</si>
  <si>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</si>
  <si>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</si>
  <si>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</si>
  <si>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</si>
  <si>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</si>
  <si>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</si>
  <si>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</si>
  <si>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</si>
  <si>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</si>
  <si>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</si>
  <si>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</si>
  <si>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</si>
  <si>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</si>
  <si>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</si>
  <si>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</si>
  <si>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</si>
  <si>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</si>
  <si>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</si>
  <si>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</si>
  <si>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</si>
  <si>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</si>
  <si>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</si>
  <si>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</si>
  <si>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</si>
  <si>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</si>
  <si>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</si>
  <si>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</si>
  <si>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</si>
  <si>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</si>
  <si>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</si>
  <si>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</si>
  <si>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</si>
  <si>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</si>
  <si>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</si>
  <si>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</si>
  <si>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</si>
  <si>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</si>
  <si>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</si>
  <si>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</si>
  <si>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</si>
  <si>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</si>
  <si>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</si>
  <si>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</si>
  <si>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</si>
  <si>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</si>
  <si>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</si>
  <si>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</si>
  <si>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</si>
  <si>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</si>
  <si>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</si>
  <si>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</si>
  <si>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</si>
  <si>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</si>
  <si>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</si>
  <si>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</si>
  <si>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</si>
  <si>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</si>
  <si>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</si>
  <si>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</si>
  <si>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</si>
  <si>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</si>
  <si>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</si>
  <si>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</si>
  <si>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</si>
  <si>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</si>
  <si>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</si>
  <si>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</si>
  <si>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</si>
  <si>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</si>
  <si>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</si>
  <si>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</si>
  <si>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</si>
  <si>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</si>
  <si>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</si>
  <si>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</si>
  <si>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</si>
  <si>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</si>
  <si>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</si>
  <si>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</si>
  <si>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</si>
  <si>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</si>
  <si>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</si>
  <si>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</si>
  <si>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</si>
  <si>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</si>
  <si>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</si>
  <si>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</si>
  <si>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</si>
  <si>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</si>
  <si>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</si>
  <si>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</si>
  <si>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</si>
  <si>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</si>
  <si>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</si>
  <si>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</si>
  <si>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</si>
  <si>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</si>
  <si>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</si>
  <si>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</si>
  <si>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</si>
  <si>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</si>
  <si>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</si>
  <si>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</si>
  <si>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</si>
  <si>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</si>
  <si>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</si>
  <si>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</si>
  <si>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</si>
  <si>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</si>
  <si>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</si>
  <si>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</si>
  <si>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</si>
  <si>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</si>
  <si>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</si>
  <si>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</si>
  <si>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</si>
  <si>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</si>
  <si>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</si>
  <si>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</si>
  <si>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</si>
  <si>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</si>
  <si>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</si>
  <si>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</si>
  <si>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</si>
  <si>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</si>
  <si>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</si>
  <si>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</si>
  <si>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</si>
  <si>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</si>
  <si>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</si>
  <si>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</si>
  <si>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</si>
  <si>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</si>
  <si>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</si>
  <si>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</si>
  <si>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</si>
  <si>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</si>
  <si>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</si>
  <si>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</si>
  <si>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</si>
  <si>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</si>
  <si>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</si>
  <si>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</si>
  <si>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</si>
  <si>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</si>
  <si>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</si>
  <si>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</si>
  <si>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</si>
  <si>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</si>
  <si>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</si>
  <si>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</si>
  <si>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</si>
  <si>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</si>
  <si>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</si>
  <si>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</si>
  <si>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</si>
  <si>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</si>
  <si>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</si>
  <si>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</si>
  <si>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</si>
  <si>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</si>
  <si>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</si>
  <si>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</si>
  <si>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</si>
  <si>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</si>
  <si>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</si>
  <si>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</si>
  <si>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</si>
  <si>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</si>
  <si>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</si>
  <si>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</si>
  <si>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</si>
  <si>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</si>
  <si>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</si>
  <si>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</si>
  <si>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</si>
  <si>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</si>
  <si>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</si>
  <si>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</si>
  <si>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</si>
  <si>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</si>
  <si>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</si>
  <si>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</si>
  <si>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</si>
  <si>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</si>
  <si>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</si>
  <si>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</si>
  <si>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</si>
  <si>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</si>
  <si>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</si>
  <si>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</si>
  <si>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</si>
  <si>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</si>
  <si>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</si>
  <si>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</si>
  <si>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</si>
  <si>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</si>
  <si>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</si>
  <si>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</si>
  <si>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</si>
  <si>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</si>
  <si>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</si>
  <si>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</si>
  <si>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</si>
  <si>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</si>
  <si>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</si>
  <si>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</si>
  <si>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</si>
  <si>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</si>
  <si>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</si>
  <si>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</si>
  <si>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</si>
  <si>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</si>
  <si>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</si>
  <si>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</si>
  <si>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</si>
  <si>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</si>
  <si>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</si>
  <si>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</si>
  <si>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</si>
  <si>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</si>
  <si>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</si>
  <si>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</si>
  <si>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</si>
  <si>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</si>
  <si>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</si>
  <si>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</si>
  <si>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</si>
  <si>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</si>
  <si>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</si>
  <si>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</si>
  <si>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</si>
  <si>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</si>
  <si>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</si>
  <si>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</si>
  <si>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</si>
  <si>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</si>
  <si>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</si>
  <si>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</si>
  <si>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</si>
  <si>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</si>
  <si>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</si>
  <si>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</si>
  <si>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</si>
  <si>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</si>
  <si>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</si>
  <si>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</si>
  <si>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</si>
  <si>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</si>
  <si>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</si>
  <si>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</si>
  <si>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</si>
  <si>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</si>
  <si>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</si>
  <si>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</si>
  <si>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</si>
  <si>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</si>
  <si>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</si>
  <si>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</si>
  <si>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</si>
  <si>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</si>
  <si>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</si>
  <si>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</si>
  <si>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</si>
  <si>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</si>
  <si>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</si>
  <si>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</si>
  <si>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</si>
  <si>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</si>
  <si>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</si>
  <si>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</si>
  <si>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</si>
  <si>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</si>
  <si>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</si>
  <si>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</si>
  <si>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</si>
  <si>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</si>
  <si>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</si>
  <si>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</si>
  <si>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</si>
  <si>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</si>
  <si>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</si>
  <si>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</si>
  <si>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</si>
  <si>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</si>
  <si>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</si>
  <si>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</si>
  <si>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</si>
  <si>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</si>
  <si>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</si>
  <si>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</si>
  <si>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</si>
  <si>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</si>
  <si>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</si>
  <si>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</si>
  <si>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</si>
  <si>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</si>
  <si>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</si>
  <si>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</si>
  <si>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</si>
  <si>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</si>
  <si>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</si>
  <si>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</si>
  <si>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</si>
  <si>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</si>
  <si>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</si>
  <si>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</si>
  <si>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</si>
  <si>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</si>
  <si>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</si>
  <si>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</si>
  <si>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</si>
  <si>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</si>
  <si>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</si>
  <si>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</si>
  <si>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</si>
  <si>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</si>
  <si>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</si>
  <si>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</si>
  <si>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</si>
  <si>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</si>
  <si>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</si>
  <si>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</si>
  <si>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</si>
  <si>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</si>
  <si>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</si>
  <si>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</si>
  <si>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</si>
  <si>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</si>
  <si>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</si>
  <si>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</si>
  <si>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</si>
  <si>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</si>
  <si>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</si>
  <si>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</si>
  <si>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</si>
  <si>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</si>
  <si>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</si>
  <si>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</si>
  <si>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</si>
  <si>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</si>
  <si>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</si>
  <si>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</si>
  <si>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</si>
  <si>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</si>
  <si>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</si>
  <si>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</si>
  <si>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</si>
  <si>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</si>
  <si>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</si>
  <si>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</si>
  <si>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</si>
  <si>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</si>
  <si>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</si>
  <si>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</si>
  <si>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</si>
  <si>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</si>
  <si>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</si>
  <si>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</si>
  <si>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</si>
  <si>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</si>
  <si>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</si>
  <si>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</si>
  <si>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</si>
  <si>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</si>
  <si>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</si>
  <si>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</si>
  <si>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</si>
  <si>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</si>
  <si>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</si>
  <si>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</si>
  <si>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</si>
  <si>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</si>
  <si>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</si>
  <si>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</si>
  <si>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</si>
  <si>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</si>
  <si>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</si>
  <si>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</si>
  <si>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</si>
  <si>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</si>
  <si>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</si>
  <si>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</si>
  <si>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</si>
  <si>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</si>
  <si>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</si>
  <si>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</si>
  <si>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</si>
  <si>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</si>
  <si>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</si>
  <si>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</si>
  <si>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</si>
  <si>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</si>
  <si>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</si>
  <si>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</si>
  <si>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</si>
  <si>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</si>
  <si>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</si>
  <si>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</si>
  <si>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</si>
  <si>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</si>
  <si>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</si>
  <si>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</si>
  <si>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</si>
  <si>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</si>
  <si>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</si>
  <si>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</si>
  <si>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</si>
  <si>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</si>
  <si>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</si>
  <si>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</si>
  <si>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</si>
  <si>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</si>
  <si>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</si>
  <si>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</si>
  <si>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</si>
  <si>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</si>
  <si>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</si>
  <si>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</si>
  <si>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</si>
  <si>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</si>
  <si>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</si>
  <si>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</si>
  <si>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</si>
  <si>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</si>
  <si>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</si>
  <si>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</si>
  <si>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</si>
  <si>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</si>
  <si>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</si>
  <si>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</si>
  <si>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</si>
  <si>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</si>
  <si>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</si>
  <si>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</si>
  <si>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</si>
  <si>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</si>
  <si>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</si>
  <si>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</si>
  <si>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</si>
  <si>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</si>
  <si>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</si>
  <si>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</si>
  <si>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</si>
  <si>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</si>
  <si>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</si>
  <si>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</si>
  <si>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</si>
  <si>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</si>
  <si>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</si>
  <si>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</si>
  <si>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</si>
  <si>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</si>
  <si>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</si>
  <si>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</si>
  <si>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</si>
  <si>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</si>
  <si>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</si>
  <si>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</si>
  <si>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</si>
  <si>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</si>
  <si>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</si>
  <si>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</si>
  <si>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</si>
  <si>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</si>
  <si>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</si>
  <si>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</si>
  <si>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</si>
  <si>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</si>
  <si>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</si>
  <si>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</si>
  <si>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</si>
  <si>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</si>
  <si>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</si>
  <si>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</si>
  <si>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</si>
  <si>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</si>
  <si>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</si>
  <si>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</si>
  <si>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</si>
  <si>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</si>
  <si>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</si>
  <si>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</si>
  <si>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</si>
  <si>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</si>
  <si>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</si>
  <si>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</si>
  <si>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</si>
  <si>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</si>
  <si>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</si>
  <si>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</si>
  <si>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</si>
  <si>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</si>
  <si>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</si>
  <si>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</si>
  <si>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</si>
  <si>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</si>
  <si>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</si>
  <si>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</si>
  <si>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</si>
  <si>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</si>
  <si>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</si>
  <si>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</si>
  <si>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</si>
  <si>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</si>
  <si>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</si>
  <si>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</si>
  <si>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</si>
  <si>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</si>
  <si>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</si>
  <si>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</si>
  <si>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</si>
  <si>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</si>
  <si>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</si>
  <si>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</si>
  <si>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</si>
  <si>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</si>
  <si>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</si>
  <si>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</si>
  <si>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</si>
  <si>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</si>
  <si>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</si>
  <si>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</si>
  <si>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</si>
  <si>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</si>
  <si>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</si>
  <si>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</si>
  <si>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</si>
  <si>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</si>
  <si>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</si>
  <si>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</si>
  <si>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</si>
  <si>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</si>
  <si>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</si>
  <si>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</si>
  <si>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</si>
  <si>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</si>
  <si>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</si>
  <si>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</si>
  <si>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</si>
  <si>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</si>
  <si>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</si>
  <si>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</si>
  <si>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</si>
  <si>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</si>
  <si>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</si>
  <si>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</si>
  <si>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</si>
  <si>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</si>
  <si>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</si>
  <si>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</si>
  <si>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</si>
  <si>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</si>
  <si>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</si>
  <si>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</si>
  <si>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</si>
  <si>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</si>
  <si>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</si>
  <si>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</si>
  <si>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</si>
  <si>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</si>
  <si>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</si>
  <si>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</si>
  <si>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</si>
  <si>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</si>
  <si>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</si>
  <si>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</si>
  <si>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</si>
  <si>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</si>
  <si>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</si>
  <si>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</si>
  <si>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</si>
  <si>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</si>
  <si>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</si>
  <si>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</si>
  <si>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</si>
  <si>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</si>
  <si>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</si>
  <si>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</si>
  <si>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</si>
  <si>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</si>
  <si>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</si>
  <si>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</si>
  <si>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</si>
  <si>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</si>
  <si>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</si>
  <si>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</si>
  <si>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</si>
  <si>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</si>
  <si>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</si>
  <si>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</si>
  <si>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</si>
  <si>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</si>
  <si>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</si>
  <si>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</si>
  <si>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</si>
  <si>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</si>
  <si>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</si>
  <si>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</si>
  <si>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</si>
  <si>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</si>
  <si>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</si>
  <si>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</si>
  <si>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</si>
  <si>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</si>
  <si>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</si>
  <si>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</si>
  <si>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</si>
  <si>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</si>
  <si>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</si>
  <si>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</si>
  <si>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</si>
  <si>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</si>
  <si>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</si>
  <si>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</si>
  <si>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</si>
  <si>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</si>
  <si>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</si>
  <si>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</si>
  <si>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</si>
  <si>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</si>
  <si>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</si>
  <si>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</si>
  <si>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</si>
  <si>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</si>
  <si>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</si>
  <si>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</si>
  <si>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</si>
  <si>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</si>
  <si>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</si>
  <si>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</si>
  <si>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</si>
  <si>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</si>
  <si>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</si>
  <si>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</si>
  <si>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</si>
  <si>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</si>
  <si>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</si>
  <si>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</si>
  <si>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</si>
  <si>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</si>
  <si>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</si>
  <si>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</si>
  <si>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</si>
  <si>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</si>
  <si>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</si>
  <si>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</si>
  <si>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</si>
  <si>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</si>
  <si>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</si>
  <si>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</si>
  <si>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</si>
  <si>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</si>
  <si>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</si>
  <si>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</si>
  <si>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</si>
  <si>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</si>
  <si>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</si>
  <si>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</si>
  <si>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</si>
  <si>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</si>
  <si>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</si>
  <si>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</si>
  <si>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</si>
  <si>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</si>
  <si>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</si>
  <si>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</si>
  <si>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</si>
  <si>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</si>
  <si>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</si>
  <si>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</si>
  <si>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</si>
  <si>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</si>
  <si>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</si>
  <si>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</si>
  <si>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</si>
  <si>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</si>
  <si>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</si>
  <si>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</si>
  <si>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</si>
  <si>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</si>
  <si>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</si>
  <si>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</si>
  <si>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</si>
  <si>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</si>
  <si>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</si>
  <si>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</si>
  <si>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</si>
  <si>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</si>
  <si>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</si>
  <si>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</si>
  <si>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</si>
  <si>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</si>
  <si>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</si>
  <si>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</si>
  <si>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</si>
  <si>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</si>
  <si>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</si>
  <si>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</si>
  <si>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</si>
  <si>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</si>
  <si>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</si>
  <si>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</si>
  <si>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</si>
  <si>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</si>
  <si>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</si>
  <si>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</si>
  <si>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</si>
  <si>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</si>
  <si>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</si>
  <si>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</si>
  <si>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</si>
  <si>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</si>
  <si>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</si>
  <si>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</si>
  <si>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</si>
  <si>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</si>
  <si>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</si>
  <si>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</si>
  <si>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</si>
  <si>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</si>
  <si>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</si>
  <si>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</si>
  <si>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</si>
  <si>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</si>
  <si>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</si>
  <si>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</si>
  <si>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</si>
  <si>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</si>
  <si>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</si>
  <si>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</si>
  <si>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</si>
  <si>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</si>
  <si>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</si>
  <si>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</si>
  <si>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</si>
  <si>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</si>
  <si>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</si>
  <si>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</si>
  <si>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</si>
  <si>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</si>
  <si>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</si>
  <si>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</si>
  <si>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</si>
  <si>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</si>
  <si>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</si>
  <si>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</si>
  <si>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</si>
  <si>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</si>
  <si>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</si>
  <si>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</si>
  <si>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</si>
  <si>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</si>
  <si>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</si>
  <si>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</si>
  <si>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</si>
  <si>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</si>
  <si>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</si>
  <si>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</si>
  <si>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</si>
  <si>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</si>
  <si>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</si>
  <si>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</si>
  <si>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</si>
  <si>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</si>
  <si>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</si>
  <si>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</si>
  <si>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</si>
  <si>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</si>
  <si>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</si>
  <si>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</si>
  <si>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</si>
  <si>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</si>
  <si>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</si>
  <si>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</si>
  <si>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</si>
  <si>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</si>
  <si>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</si>
  <si>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</si>
  <si>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</si>
  <si>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</si>
  <si>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</si>
  <si>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</si>
  <si>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</si>
  <si>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</si>
  <si>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</si>
  <si>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</si>
  <si>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</si>
  <si>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</si>
  <si>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</si>
  <si>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</si>
  <si>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</si>
  <si>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</si>
  <si>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</si>
  <si>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</si>
  <si>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</si>
  <si>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</si>
  <si>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</si>
  <si>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</si>
  <si>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</si>
  <si>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</si>
  <si>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</si>
  <si>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</si>
  <si>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</si>
  <si>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</si>
  <si>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</si>
  <si>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</si>
  <si>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</si>
  <si>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</si>
  <si>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</si>
  <si>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</si>
  <si>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</si>
  <si>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</si>
  <si>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</si>
  <si>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</si>
  <si>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</si>
  <si>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</si>
  <si>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</si>
  <si>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</si>
  <si>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</si>
  <si>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</si>
  <si>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</si>
  <si>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</si>
  <si>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</si>
  <si>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</si>
  <si>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</si>
  <si>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</si>
  <si>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</si>
  <si>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</si>
  <si>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</si>
  <si>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</si>
  <si>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</si>
  <si>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</si>
  <si>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</si>
  <si>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</si>
  <si>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</si>
  <si>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</si>
  <si>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</si>
  <si>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</si>
  <si>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</si>
  <si>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</si>
  <si>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</si>
  <si>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</si>
  <si>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</si>
  <si>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</si>
  <si>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</si>
  <si>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</si>
  <si>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</si>
  <si>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</si>
  <si>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</si>
  <si>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</si>
  <si>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</si>
  <si>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</si>
  <si>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</si>
  <si>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</si>
  <si>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</si>
  <si>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</si>
  <si>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</si>
  <si>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</si>
  <si>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</si>
  <si>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</si>
  <si>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</si>
  <si>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</si>
  <si>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</si>
  <si>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</si>
  <si>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</si>
  <si>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</si>
  <si>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</si>
  <si>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</si>
  <si>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</si>
  <si>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</si>
  <si>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</si>
  <si>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</si>
  <si>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</si>
  <si>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</si>
  <si>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</si>
  <si>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</si>
  <si>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</si>
  <si>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</si>
  <si>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</si>
  <si>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</si>
  <si>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</si>
  <si>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</si>
  <si>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</si>
  <si>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</si>
  <si>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</si>
  <si>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</si>
  <si>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</si>
  <si>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</si>
  <si>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</si>
  <si>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</si>
  <si>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</si>
  <si>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</si>
  <si>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</si>
  <si>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</si>
  <si>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</si>
  <si>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</si>
  <si>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</si>
  <si>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</si>
  <si>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</si>
  <si>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</si>
  <si>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</si>
  <si>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</si>
  <si>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</si>
  <si>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</si>
  <si>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</si>
  <si>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</si>
  <si>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</si>
  <si>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</si>
  <si>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</si>
  <si>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</si>
  <si>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</si>
  <si>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</si>
  <si>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</si>
  <si>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</si>
  <si>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</si>
  <si>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</si>
  <si>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</si>
  <si>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</si>
  <si>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</si>
  <si>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</si>
  <si>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</si>
  <si>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</si>
  <si>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</si>
  <si>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</si>
  <si>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</si>
  <si>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</si>
  <si>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</si>
  <si>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</si>
  <si>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</si>
  <si>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</si>
  <si>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</si>
  <si>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</si>
  <si>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</si>
  <si>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</si>
  <si>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</si>
  <si>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</si>
  <si>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</si>
  <si>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</si>
  <si>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</si>
  <si>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</si>
  <si>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</si>
  <si>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</si>
  <si>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</si>
  <si>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</si>
  <si>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</si>
  <si>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</si>
  <si>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</si>
  <si>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</si>
  <si>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</si>
  <si>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</si>
  <si>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</si>
  <si>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</si>
  <si>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</si>
  <si>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</si>
  <si>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</si>
  <si>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</si>
  <si>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</si>
  <si>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</si>
  <si>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</si>
  <si>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</si>
  <si>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</si>
  <si>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</si>
  <si>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</si>
  <si>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</si>
  <si>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</si>
  <si>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</si>
  <si>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</si>
  <si>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</si>
  <si>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</si>
  <si>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</si>
  <si>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</si>
  <si>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</si>
  <si>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</si>
  <si>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</si>
  <si>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</si>
  <si>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</si>
  <si>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</si>
  <si>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</si>
  <si>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</si>
  <si>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</si>
  <si>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</si>
  <si>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</si>
  <si>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</si>
  <si>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</si>
  <si>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</si>
  <si>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</si>
  <si>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</si>
  <si>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</si>
  <si>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</si>
  <si>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</si>
  <si>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</si>
  <si>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</si>
  <si>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</si>
  <si>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</si>
  <si>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</si>
  <si>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</si>
  <si>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PUBLIC ADDRESS SYSTEM (TWO WAY COMMUNICATION TYPE)</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</si>
  <si>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</si>
  <si>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</si>
  <si>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</si>
  <si>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</si>
  <si>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</si>
  <si>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</si>
  <si>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</si>
  <si>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</si>
  <si>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</si>
  <si>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</si>
  <si>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</si>
  <si>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</si>
  <si>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</si>
  <si>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</si>
  <si>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</si>
  <si>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</si>
  <si>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</si>
  <si>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</si>
  <si>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</si>
  <si>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</si>
  <si>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</si>
  <si>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</si>
  <si>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</si>
  <si>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</si>
  <si>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</si>
  <si>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</si>
  <si>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</si>
  <si>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</si>
  <si>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</si>
  <si>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</si>
  <si>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</si>
  <si>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</si>
  <si>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</si>
  <si>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</si>
  <si>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</si>
  <si>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</si>
  <si>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</si>
  <si>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</si>
  <si>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</si>
  <si>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</si>
  <si>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</si>
  <si>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</si>
  <si>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</si>
  <si>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</si>
  <si>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</si>
  <si>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</si>
  <si>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</si>
  <si>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</si>
  <si>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</si>
  <si>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</si>
  <si>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</si>
  <si>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</si>
  <si>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</si>
  <si>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</si>
  <si>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</si>
  <si>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</si>
  <si>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</si>
  <si>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</si>
  <si>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</si>
  <si>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</si>
  <si>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</si>
  <si>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</si>
  <si>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</si>
  <si>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</si>
  <si>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</si>
  <si>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</si>
  <si>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</si>
  <si>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</si>
  <si>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</si>
  <si>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</si>
  <si>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</si>
  <si>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</si>
  <si>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</si>
  <si>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</si>
  <si>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</si>
  <si>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</si>
  <si>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</si>
  <si>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</si>
  <si>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</si>
  <si>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</si>
  <si>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</si>
  <si>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</si>
  <si>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</si>
  <si>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</si>
  <si>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</si>
  <si>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</si>
  <si>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</si>
  <si>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</si>
  <si>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</si>
  <si>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</si>
  <si>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</si>
  <si>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</si>
  <si>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</si>
  <si>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</si>
  <si>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</si>
  <si>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</si>
  <si>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</si>
  <si>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</si>
  <si>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</si>
  <si>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</si>
  <si>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</si>
  <si>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</si>
  <si>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</si>
  <si>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</si>
  <si>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</si>
  <si>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</si>
  <si>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</si>
  <si>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</si>
  <si>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</si>
  <si>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</si>
  <si>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</si>
  <si>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</si>
  <si>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</si>
  <si>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</si>
  <si>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</si>
  <si>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</si>
  <si>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</si>
  <si>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</si>
  <si>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</si>
  <si>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</si>
  <si>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</si>
  <si>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</si>
  <si>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</si>
  <si>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</si>
  <si>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</si>
  <si>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</si>
  <si>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</si>
  <si>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</si>
  <si>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</si>
  <si>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</si>
  <si>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</si>
  <si>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</si>
  <si>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</si>
  <si>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</si>
  <si>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</si>
  <si>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</si>
  <si>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</si>
  <si>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</si>
  <si>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</si>
  <si>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</si>
  <si>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</si>
  <si>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</si>
  <si>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</si>
  <si>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</si>
  <si>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</si>
  <si>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</si>
  <si>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</si>
  <si>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</si>
  <si>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</si>
  <si>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</si>
  <si>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</si>
  <si>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</si>
  <si>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</si>
  <si>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</si>
  <si>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</si>
  <si>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</si>
  <si>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</si>
  <si>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</si>
  <si>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</si>
  <si>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</si>
  <si>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</si>
  <si>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</si>
  <si>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</si>
  <si>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</si>
  <si>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</si>
  <si>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</si>
  <si>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</si>
  <si>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</si>
  <si>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</si>
  <si>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</si>
  <si>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</si>
  <si>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</si>
  <si>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</si>
  <si>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</si>
  <si>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</si>
  <si>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</si>
  <si>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</si>
  <si>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</si>
  <si>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</si>
  <si>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</si>
  <si>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</si>
  <si>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</si>
  <si>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</si>
  <si>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</si>
  <si>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</si>
  <si>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</si>
  <si>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</si>
  <si>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</si>
  <si>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</si>
  <si>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</si>
  <si>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</si>
  <si>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</si>
  <si>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</si>
  <si>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</si>
  <si>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</si>
  <si>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</si>
  <si>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</si>
  <si>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</si>
  <si>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</si>
  <si>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</si>
  <si>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</si>
  <si>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</si>
  <si>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</si>
  <si>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</si>
  <si>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</si>
  <si>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</si>
  <si>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</si>
  <si>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</si>
  <si>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</si>
  <si>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</si>
  <si>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</si>
  <si>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</si>
  <si>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</si>
  <si>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</si>
  <si>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</si>
  <si>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</si>
  <si>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</si>
  <si>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</si>
  <si>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</si>
  <si>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</si>
  <si>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</si>
  <si>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</si>
  <si>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</si>
  <si>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</si>
  <si>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</si>
  <si>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</si>
  <si>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</si>
  <si>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</si>
  <si>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</si>
  <si>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</si>
  <si>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</si>
  <si>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</si>
  <si>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</si>
  <si>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</si>
  <si>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</si>
  <si>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</si>
  <si>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</si>
  <si>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</si>
  <si>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</si>
  <si>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</si>
  <si>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</si>
  <si>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</si>
  <si>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</si>
  <si>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</si>
  <si>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</si>
  <si>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</si>
  <si>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</si>
  <si>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</si>
  <si>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</si>
  <si>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</si>
  <si>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</si>
  <si>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</si>
  <si>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</si>
  <si>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</si>
  <si>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</si>
  <si>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</si>
  <si>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</si>
  <si>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</si>
  <si>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</si>
  <si>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</si>
  <si>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</si>
  <si>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</si>
  <si>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</si>
  <si>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</si>
  <si>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</si>
  <si>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</si>
  <si>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</si>
  <si>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</si>
  <si>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</si>
  <si>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</si>
  <si>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</si>
  <si>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</si>
  <si>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</si>
  <si>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</si>
  <si>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</si>
  <si>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</si>
  <si>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</si>
  <si>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</si>
  <si>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</si>
  <si>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</si>
  <si>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</si>
  <si>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</si>
  <si>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</si>
  <si>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</si>
  <si>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</si>
  <si>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</si>
  <si>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</si>
  <si>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</si>
  <si>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</si>
  <si>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</si>
  <si>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</si>
  <si>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</si>
  <si>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</si>
  <si>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</si>
  <si>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</si>
  <si>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</si>
  <si>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</si>
  <si>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</si>
  <si>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</si>
  <si>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</si>
  <si>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</si>
  <si>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</si>
  <si>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</si>
  <si>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</si>
  <si>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</si>
  <si>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</si>
  <si>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</si>
  <si>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</si>
  <si>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</si>
  <si>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</si>
  <si>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</si>
  <si>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</si>
  <si>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</si>
  <si>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</si>
  <si>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</si>
  <si>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</si>
  <si>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</si>
  <si>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</si>
  <si>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</si>
  <si>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</si>
  <si>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</si>
  <si>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</si>
  <si>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</si>
  <si>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</si>
  <si>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</si>
  <si>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</si>
  <si>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</si>
  <si>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</si>
  <si>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</si>
  <si>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</si>
  <si>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</si>
  <si>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</si>
  <si>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</si>
  <si>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</si>
  <si>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</si>
  <si>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</si>
  <si>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</si>
  <si>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</si>
  <si>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</si>
  <si>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</si>
  <si>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</si>
  <si>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</si>
  <si>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</si>
  <si>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</si>
  <si>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</si>
  <si>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</si>
  <si>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</si>
  <si>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</si>
  <si>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</si>
  <si>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</si>
  <si>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</si>
  <si>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</si>
  <si>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</si>
  <si>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</si>
  <si>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</si>
  <si>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</si>
  <si>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</si>
  <si>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</si>
  <si>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</si>
  <si>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</si>
  <si>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</si>
  <si>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</si>
  <si>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</si>
  <si>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</si>
  <si>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</si>
  <si>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</si>
  <si>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</si>
  <si>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</si>
  <si>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</si>
  <si>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</si>
  <si>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</si>
  <si>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</si>
  <si>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</si>
  <si>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</si>
  <si>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</si>
  <si>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</si>
  <si>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</si>
  <si>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</si>
  <si>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</si>
  <si>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</si>
  <si>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</si>
  <si>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</si>
  <si>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</si>
  <si>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</si>
  <si>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</si>
  <si>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</si>
  <si>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</si>
  <si>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</si>
  <si>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</si>
  <si>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</si>
  <si>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</si>
  <si>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</si>
  <si>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</si>
  <si>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</si>
  <si>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</si>
  <si>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</si>
  <si>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</si>
  <si>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</si>
  <si>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</si>
  <si>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</si>
  <si>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</si>
  <si>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</si>
  <si>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</si>
  <si>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</si>
  <si>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</si>
  <si>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</si>
  <si>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</si>
  <si>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</si>
  <si>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</si>
  <si>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</si>
  <si>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</si>
  <si>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</si>
  <si>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</si>
  <si>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</si>
  <si>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</si>
  <si>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</si>
  <si>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</si>
  <si>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</si>
  <si>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</si>
  <si>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</si>
  <si>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</si>
  <si>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</si>
  <si>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</si>
  <si>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</si>
  <si>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</si>
  <si>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</si>
  <si>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</si>
  <si>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</si>
  <si>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</si>
  <si>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</si>
  <si>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</si>
  <si>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</si>
  <si>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</si>
  <si>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</si>
  <si>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</si>
  <si>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</si>
  <si>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</si>
  <si>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</si>
  <si>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</si>
  <si>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</si>
  <si>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</si>
  <si>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</si>
  <si>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</si>
  <si>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</si>
  <si>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</si>
  <si>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</si>
  <si>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</si>
  <si>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</si>
  <si>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</si>
  <si>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</si>
  <si>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</si>
  <si>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</si>
  <si>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</si>
  <si>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</si>
  <si>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</si>
  <si>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</si>
  <si>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</si>
  <si>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</si>
  <si>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</si>
  <si>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</si>
  <si>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</si>
  <si>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</si>
  <si>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</si>
  <si>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</si>
  <si>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</si>
  <si>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</si>
  <si>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</si>
  <si>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</si>
  <si>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</si>
  <si>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</si>
  <si>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</si>
  <si>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</si>
  <si>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</si>
  <si>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</si>
  <si>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</si>
  <si>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</si>
  <si>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</si>
  <si>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</si>
  <si>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</si>
  <si>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</si>
  <si>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</si>
  <si>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</si>
  <si>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</si>
  <si>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</si>
  <si>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</si>
  <si>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</si>
  <si>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</si>
  <si>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</si>
  <si>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</si>
  <si>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</si>
  <si>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</si>
  <si>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</si>
  <si>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</si>
  <si>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</si>
  <si>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</si>
  <si>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</si>
  <si>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</si>
  <si>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</si>
  <si>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</si>
  <si>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</si>
  <si>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</si>
  <si>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</si>
  <si>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</si>
  <si>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</si>
  <si>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</si>
  <si>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</si>
  <si>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</si>
  <si>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</si>
  <si>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</si>
  <si>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</si>
  <si>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</si>
  <si>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</si>
  <si>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</si>
  <si>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</si>
  <si>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</si>
  <si>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</si>
  <si>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</si>
  <si>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</si>
  <si>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</si>
  <si>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</si>
  <si>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</si>
  <si>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</si>
  <si>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</si>
  <si>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</si>
  <si>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</si>
  <si>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</si>
  <si>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</si>
  <si>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</si>
  <si>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</si>
  <si>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</si>
  <si>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</si>
  <si>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</si>
  <si>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</si>
  <si>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</si>
  <si>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</si>
  <si>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</si>
  <si>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</si>
  <si>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</si>
  <si>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</si>
  <si>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</si>
  <si>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</si>
  <si>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</si>
  <si>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</si>
  <si>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</si>
  <si>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</si>
  <si>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</si>
  <si>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</si>
  <si>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</si>
  <si>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</si>
  <si>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</si>
  <si>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</si>
  <si>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</si>
  <si>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</si>
  <si>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</si>
  <si>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</si>
  <si>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</si>
  <si>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</si>
  <si>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</si>
  <si>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</si>
  <si>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</si>
  <si>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</si>
  <si>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</si>
  <si>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</si>
  <si>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</si>
  <si>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</si>
  <si>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</si>
  <si>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</si>
  <si>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</si>
  <si>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</si>
  <si>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</si>
  <si>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</si>
  <si>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</si>
  <si>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</si>
  <si>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</si>
  <si>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</si>
  <si>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</si>
  <si>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</si>
  <si>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</si>
  <si>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</si>
  <si>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</si>
  <si>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</si>
  <si>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</si>
  <si>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</si>
  <si>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</si>
  <si>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</si>
  <si>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</si>
  <si>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</si>
  <si>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</si>
  <si>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</si>
  <si>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</si>
  <si>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</si>
  <si>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</si>
  <si>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</si>
  <si>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</si>
  <si>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</si>
  <si>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</si>
  <si>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</si>
  <si>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</si>
  <si>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</si>
  <si>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</si>
  <si>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</si>
  <si>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</si>
  <si>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</si>
  <si>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</si>
  <si>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</si>
  <si>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</si>
  <si>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</si>
  <si>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</si>
  <si>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</si>
  <si>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</si>
  <si>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</si>
  <si>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</si>
  <si>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</si>
  <si>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</si>
  <si>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</si>
  <si>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</si>
  <si>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</si>
  <si>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</si>
  <si>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</si>
  <si>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</si>
  <si>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</si>
  <si>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</si>
  <si>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</si>
  <si>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</si>
  <si>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</si>
  <si>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</si>
  <si>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</si>
  <si>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</si>
  <si>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</si>
  <si>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</si>
  <si>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</si>
  <si>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</si>
  <si>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</si>
  <si>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</si>
  <si>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</si>
  <si>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</si>
  <si>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</si>
  <si>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</si>
  <si>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</si>
  <si>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</si>
  <si>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</si>
  <si>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</si>
  <si>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</si>
  <si>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</si>
  <si>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</si>
  <si>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</si>
  <si>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</si>
  <si>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</si>
  <si>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</si>
  <si>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</si>
  <si>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</si>
  <si>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</si>
  <si>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</si>
  <si>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</si>
  <si>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</si>
  <si>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</si>
  <si>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</si>
  <si>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</si>
  <si>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</si>
  <si>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</si>
  <si>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</si>
  <si>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</si>
  <si>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</si>
  <si>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</si>
  <si>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</si>
  <si>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</si>
  <si>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</si>
  <si>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</si>
  <si>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</si>
  <si>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</si>
  <si>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</si>
  <si>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</si>
  <si>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</si>
  <si>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</si>
  <si>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</si>
  <si>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</si>
  <si>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</si>
  <si>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</si>
  <si>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</si>
  <si>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</si>
  <si>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</si>
  <si>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</si>
  <si>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</si>
  <si>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</si>
  <si>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</si>
  <si>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</si>
  <si>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</si>
  <si>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</si>
  <si>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</si>
  <si>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</si>
  <si>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</si>
  <si>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</si>
  <si>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</si>
  <si>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</si>
  <si>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</si>
  <si>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</si>
  <si>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</si>
  <si>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</si>
  <si>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</si>
  <si>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</si>
  <si>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</si>
  <si>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</si>
  <si>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</si>
  <si>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</si>
  <si>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</si>
  <si>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</si>
  <si>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</si>
  <si>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</si>
  <si>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</si>
  <si>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</si>
  <si>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</si>
  <si>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</si>
  <si>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</si>
  <si>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</si>
  <si>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</si>
  <si>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</si>
  <si>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</si>
  <si>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</si>
  <si>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</si>
  <si>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</si>
  <si>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</si>
  <si>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</si>
  <si>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</si>
  <si>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</si>
  <si>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</si>
  <si>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</si>
  <si>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</si>
  <si>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</si>
  <si>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</si>
  <si>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</si>
  <si>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</si>
  <si>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</si>
  <si>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</si>
  <si>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</si>
  <si>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</si>
  <si>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</si>
  <si>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</si>
  <si>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</si>
  <si>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</si>
  <si>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</si>
  <si>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</si>
  <si>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</si>
  <si>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</si>
  <si>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</si>
  <si>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</si>
  <si>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</si>
  <si>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</si>
  <si>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</si>
  <si>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</si>
  <si>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</si>
  <si>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</si>
  <si>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</si>
  <si>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</si>
  <si>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</si>
  <si>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</si>
  <si>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</si>
  <si>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</si>
  <si>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</si>
  <si>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</si>
  <si>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</si>
  <si>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</si>
  <si>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</si>
  <si>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</si>
  <si>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</si>
  <si>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</si>
  <si>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</si>
  <si>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</si>
  <si>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</si>
  <si>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</si>
  <si>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</si>
  <si>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</si>
  <si>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</si>
  <si>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</si>
  <si>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</si>
  <si>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</si>
  <si>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</si>
  <si>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</si>
  <si>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</si>
  <si>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</si>
  <si>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</si>
  <si>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</si>
  <si>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</si>
  <si>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</si>
  <si>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</si>
  <si>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</si>
  <si>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</si>
  <si>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</si>
  <si>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</si>
  <si>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</si>
  <si>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</si>
  <si>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</si>
  <si>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</si>
  <si>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</si>
  <si>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</si>
  <si>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</si>
  <si>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</si>
  <si>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</si>
  <si>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</si>
  <si>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</si>
  <si>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</si>
  <si>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</si>
  <si>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</si>
  <si>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</si>
  <si>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</si>
  <si>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</si>
  <si>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</si>
  <si>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</si>
  <si>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</si>
  <si>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</si>
  <si>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</si>
  <si>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</si>
  <si>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</si>
  <si>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</si>
  <si>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</si>
  <si>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</si>
  <si>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</si>
  <si>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</si>
  <si>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</si>
  <si>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</si>
  <si>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</si>
  <si>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</si>
  <si>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</si>
  <si>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</si>
  <si>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</si>
  <si>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</si>
  <si>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</si>
  <si>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</si>
  <si>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</si>
  <si>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</si>
  <si>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</si>
  <si>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</si>
  <si>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</si>
  <si>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</si>
  <si>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</si>
  <si>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</si>
  <si>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</si>
  <si>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</si>
  <si>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</si>
  <si>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</si>
  <si>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</si>
  <si>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</si>
  <si>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</si>
  <si>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</si>
  <si>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</si>
  <si>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</si>
  <si>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</si>
  <si>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</si>
  <si>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</si>
  <si>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</si>
  <si>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</si>
  <si>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</si>
  <si>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</si>
  <si>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</si>
  <si>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</si>
  <si>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</si>
  <si>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</si>
  <si>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</si>
  <si>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</si>
  <si>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</si>
  <si>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</si>
  <si>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</si>
  <si>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</si>
  <si>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</si>
  <si>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</si>
  <si>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</si>
  <si>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</si>
  <si>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</si>
  <si>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</si>
  <si>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</si>
  <si>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</si>
  <si>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</si>
  <si>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</si>
  <si>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</si>
  <si>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</si>
  <si>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</si>
  <si>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</si>
  <si>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</si>
  <si>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</si>
  <si>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</si>
  <si>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</si>
  <si>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</si>
  <si>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</si>
  <si>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</si>
  <si>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</si>
  <si>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</si>
  <si>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</si>
  <si>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</si>
  <si>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</si>
  <si>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</si>
  <si>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</si>
  <si>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</si>
  <si>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</si>
  <si>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</si>
  <si>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</si>
  <si>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</si>
  <si>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</si>
  <si>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</si>
  <si>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</si>
  <si>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</si>
  <si>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</si>
  <si>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</si>
  <si>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</si>
  <si>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</si>
  <si>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</si>
  <si>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</si>
  <si>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</si>
  <si>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</si>
  <si>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</si>
  <si>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</si>
  <si>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</si>
  <si>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</si>
  <si>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</si>
  <si>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</si>
  <si>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</si>
  <si>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</si>
  <si>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</si>
  <si>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</si>
  <si>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</si>
  <si>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</si>
  <si>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</si>
  <si>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</si>
  <si>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</si>
  <si>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</si>
  <si>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</si>
  <si>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</si>
  <si>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</si>
  <si>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</si>
  <si>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</si>
  <si>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</si>
  <si>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</si>
  <si>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</si>
  <si>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</si>
  <si>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</si>
  <si>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</si>
  <si>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</si>
  <si>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</si>
  <si>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</si>
  <si>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</si>
  <si>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</si>
  <si>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</si>
  <si>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</si>
  <si>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</si>
  <si>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</si>
  <si>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</si>
  <si>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</si>
  <si>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</si>
  <si>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</si>
  <si>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</si>
  <si>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</si>
  <si>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</si>
  <si>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</si>
  <si>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</si>
  <si>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</si>
  <si>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</si>
  <si>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</si>
  <si>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</si>
  <si>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</si>
  <si>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</si>
  <si>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</si>
  <si>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</si>
  <si>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</si>
  <si>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</si>
  <si>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</si>
  <si>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</si>
  <si>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</si>
  <si>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</si>
  <si>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</si>
  <si>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</si>
  <si>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</si>
  <si>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</si>
  <si>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</si>
  <si>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</si>
  <si>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</si>
  <si>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</si>
  <si>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</si>
  <si>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</si>
  <si>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</si>
  <si>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</si>
  <si>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</si>
  <si>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</si>
  <si>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</si>
  <si>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</si>
  <si>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</si>
  <si>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</si>
  <si>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</si>
  <si>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</si>
  <si>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</si>
  <si>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</si>
  <si>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</si>
  <si>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</si>
  <si>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</si>
  <si>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</si>
  <si>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</si>
  <si>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</si>
  <si>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</si>
  <si>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</si>
  <si>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</si>
  <si>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</si>
  <si>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</si>
  <si>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</si>
  <si>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</si>
  <si>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</si>
  <si>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</si>
  <si>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</si>
  <si>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</si>
  <si>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</si>
  <si>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</si>
  <si>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</si>
  <si>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</si>
  <si>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</si>
  <si>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</si>
  <si>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</si>
  <si>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</si>
  <si>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</si>
  <si>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</si>
  <si>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</si>
  <si>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</si>
  <si>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</si>
  <si>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</si>
  <si>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</si>
  <si>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</si>
  <si>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</si>
  <si>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</si>
  <si>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</si>
  <si>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</si>
  <si>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</si>
  <si>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</si>
  <si>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</si>
  <si>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</si>
  <si>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</si>
  <si>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</si>
  <si>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</si>
  <si>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</si>
  <si>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</si>
  <si>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</si>
  <si>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</si>
  <si>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</si>
  <si>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</si>
  <si>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</si>
  <si>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</si>
  <si>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</si>
  <si>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</si>
  <si>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</si>
  <si>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</si>
  <si>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</si>
  <si>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</si>
  <si>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</si>
  <si>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</si>
  <si>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</si>
  <si>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</si>
  <si>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</si>
  <si>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</si>
  <si>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</si>
  <si>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</si>
  <si>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</si>
  <si>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</si>
  <si>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</si>
  <si>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</si>
  <si>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</si>
  <si>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</si>
  <si>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</si>
  <si>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</si>
  <si>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</si>
  <si>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</si>
  <si>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</si>
  <si>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</si>
  <si>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</si>
  <si>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</si>
  <si>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</si>
  <si>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</si>
  <si>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</si>
  <si>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</si>
  <si>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</si>
  <si>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</si>
  <si>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</si>
  <si>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</si>
  <si>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</si>
  <si>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</si>
  <si>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</si>
  <si>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</si>
  <si>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</si>
  <si>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</si>
  <si>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</si>
  <si>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</si>
  <si>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</si>
  <si>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</si>
  <si>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</si>
  <si>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</si>
  <si>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</si>
  <si>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</si>
  <si>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</si>
  <si>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</si>
  <si>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</si>
  <si>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</si>
  <si>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</si>
  <si>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</si>
  <si>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</si>
  <si>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</si>
  <si>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</si>
  <si>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</si>
  <si>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</si>
  <si>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</si>
  <si>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</si>
  <si>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</si>
  <si>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</si>
  <si>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</si>
  <si>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</si>
  <si>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</si>
  <si>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</si>
  <si>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</si>
  <si>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</si>
  <si>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</si>
  <si>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</si>
  <si>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</si>
  <si>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</si>
  <si>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</si>
  <si>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</si>
  <si>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</si>
  <si>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</si>
  <si>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</si>
  <si>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</si>
  <si>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</si>
  <si>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</si>
  <si>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</si>
  <si>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</si>
  <si>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</si>
  <si>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</si>
  <si>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</si>
  <si>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</si>
  <si>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</si>
  <si>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</si>
  <si>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</si>
  <si>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</si>
  <si>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</si>
  <si>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</si>
  <si>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</si>
  <si>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</si>
  <si>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</si>
  <si>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</si>
  <si>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</si>
  <si>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</si>
  <si>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</si>
  <si>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</si>
  <si>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</si>
  <si>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</si>
  <si>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</si>
  <si>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</si>
  <si>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</si>
  <si>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</si>
  <si>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</si>
  <si>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</si>
  <si>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</si>
  <si>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</si>
  <si>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</si>
  <si>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</si>
  <si>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</si>
  <si>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</si>
  <si>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</si>
  <si>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</si>
  <si>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</si>
  <si>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</si>
  <si>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</si>
  <si>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</si>
  <si>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</si>
  <si>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</si>
  <si>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</si>
  <si>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</si>
  <si>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</si>
  <si>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</si>
  <si>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</si>
  <si>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</si>
  <si>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</si>
  <si>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</si>
  <si>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</si>
  <si>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</si>
  <si>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</si>
  <si>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</si>
  <si>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</si>
  <si>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</si>
  <si>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</si>
  <si>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</si>
  <si>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</si>
  <si>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</si>
  <si>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</si>
  <si>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</si>
  <si>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</si>
  <si>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</si>
  <si>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</si>
  <si>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</si>
  <si>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</si>
  <si>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</si>
  <si>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</si>
  <si>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</si>
  <si>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</si>
  <si>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</si>
  <si>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</si>
  <si>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</si>
  <si>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</si>
  <si>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</si>
  <si>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</si>
  <si>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</si>
  <si>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</si>
  <si>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</si>
  <si>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</si>
  <si>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</si>
  <si>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</si>
  <si>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</si>
  <si>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</si>
  <si>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</si>
  <si>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</si>
  <si>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</si>
  <si>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</si>
  <si>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</si>
  <si>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</si>
  <si>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</si>
  <si>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</si>
  <si>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</si>
  <si>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</si>
  <si>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</si>
  <si>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</si>
  <si>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</si>
  <si>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</si>
  <si>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</si>
  <si>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</si>
  <si>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</si>
  <si>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</si>
  <si>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</si>
  <si>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</si>
  <si>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</si>
  <si>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</si>
  <si>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</si>
  <si>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</si>
  <si>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</si>
  <si>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</si>
  <si>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</si>
  <si>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</si>
  <si>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</si>
  <si>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</si>
  <si>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</si>
  <si>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</si>
  <si>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</si>
  <si>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</si>
  <si>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</si>
  <si>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</si>
  <si>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</si>
  <si>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</si>
  <si>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</si>
  <si>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</si>
  <si>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</si>
  <si>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</si>
  <si>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</si>
  <si>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</si>
  <si>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</si>
  <si>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</si>
  <si>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</si>
  <si>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</si>
  <si>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</si>
  <si>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</si>
  <si>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</si>
  <si>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</si>
  <si>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</si>
  <si>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</si>
  <si>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</si>
  <si>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</si>
  <si>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</si>
  <si>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</si>
  <si>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</si>
  <si>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</si>
  <si>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</si>
  <si>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</si>
  <si>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</si>
  <si>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</si>
  <si>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</si>
  <si>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</si>
  <si>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</si>
  <si>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Contents</t>
  </si>
  <si>
    <t>White washing two coat for old wall</t>
  </si>
  <si>
    <t>Plastic emulsion paint two coat old wall</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</si>
  <si>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</si>
  <si>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</si>
  <si>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</si>
  <si>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</si>
  <si>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</si>
  <si>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</si>
  <si>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</si>
  <si>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</si>
  <si>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</si>
  <si>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</si>
  <si>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</si>
  <si>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</si>
  <si>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</si>
  <si>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</si>
  <si>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</si>
  <si>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</si>
  <si>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</si>
  <si>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</si>
  <si>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</si>
  <si>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</si>
  <si>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</si>
  <si>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</si>
  <si>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</si>
  <si>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</si>
  <si>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</si>
  <si>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</si>
  <si>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</si>
  <si>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</si>
  <si>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</si>
  <si>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</si>
  <si>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</si>
  <si>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</si>
  <si>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</si>
  <si>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</si>
  <si>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</si>
  <si>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</si>
  <si>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</si>
  <si>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</si>
  <si>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1.Certified that the lead particulars finished above correct to the best of my knowledge.</t>
  </si>
  <si>
    <t>Painting two coat for old iron work</t>
  </si>
  <si>
    <t>c. Calling bell</t>
  </si>
  <si>
    <t>Painting two coat for old wood work</t>
  </si>
  <si>
    <t>Supply &amp; Fixing of MS ventilator of size ( lockup)</t>
  </si>
  <si>
    <t>ABSTRACT ESTIMATE</t>
  </si>
  <si>
    <t>ARUMANAI</t>
  </si>
  <si>
    <t>WC</t>
  </si>
  <si>
    <t xml:space="preserve">4mm glass frosted </t>
  </si>
  <si>
    <t>TAMIL NADU POLICE HOUSING CORPORATION LTD</t>
  </si>
  <si>
    <t>NAME OF WORK:</t>
  </si>
  <si>
    <t>Sl. No</t>
  </si>
  <si>
    <t>Charges for assembling and fixing of ceiling fan of different sweep with necessary connections and fixing of fan regulator on the existing board etc., all complete (Excluding cost of fan)</t>
  </si>
  <si>
    <t>Supplying and fixing of Cupboard shutter lock and key arrangements</t>
  </si>
  <si>
    <t>Quotation</t>
  </si>
  <si>
    <t>Supplying and fixing of steel handeles, peg stages for existing steel windows</t>
  </si>
  <si>
    <t>Load</t>
  </si>
  <si>
    <t>Sub - Total</t>
  </si>
  <si>
    <t>GST 18%</t>
  </si>
  <si>
    <t xml:space="preserve">      Say         Rs</t>
  </si>
  <si>
    <t>JE/AE</t>
  </si>
  <si>
    <t>Exe.Engineer</t>
  </si>
  <si>
    <t>Sl No</t>
  </si>
  <si>
    <t>L</t>
  </si>
  <si>
    <t>D</t>
  </si>
  <si>
    <t>x</t>
  </si>
  <si>
    <t>Cu.M</t>
  </si>
  <si>
    <t>Add Extra</t>
  </si>
  <si>
    <t>Computer room</t>
  </si>
  <si>
    <t>Rest room</t>
  </si>
  <si>
    <t>Bath &amp; Toliet</t>
  </si>
  <si>
    <t>Bore to OHT</t>
  </si>
  <si>
    <t>Hall</t>
  </si>
  <si>
    <t>X</t>
  </si>
  <si>
    <t>Bath &amp; Toilet</t>
  </si>
  <si>
    <t>SI Room</t>
  </si>
  <si>
    <t>Add extra</t>
  </si>
  <si>
    <t>Station writer</t>
  </si>
  <si>
    <t>2023-2024</t>
  </si>
  <si>
    <t>COST OF Vertified TILES  qtn</t>
  </si>
  <si>
    <t>EE/SLM</t>
  </si>
  <si>
    <t>pressed</t>
  </si>
  <si>
    <t>Finishing top of roof with one course of Hydraulic Pressed Tiles of approved superior quality of size 23cmx 23cmx20mm thick laid over weathering course in cm 1:3 (One of cement and three of sand) 12mm thick mixed with Water proofing compound at 2% by weight of cement used and pointed neatly with the same cement mortar mixed with water proofing compound including curing etc., as per standard specifications. (The quality of tiles shall be got approved from the EE before use)</t>
  </si>
  <si>
    <t>Supplying and fixing of 110mm dia PVC (SWR)  pipe with ISI mark type A for Rain water down fall pipe.</t>
  </si>
  <si>
    <t>Wiring with 1.5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 grade cable in  fully concealed PVC rigid conduit pipe heavy duty with ISI mark with suitable size MS box of 16 g thick concealed and covered with 3mm thick laminated hylem sheet controlled by 5 amps flush type switch including circuit mains cost of all materials, specials etc., all complete.</t>
  </si>
  <si>
    <t>White washing three coat using clean shell lime slaked including cost of lime, gum, blue, brushes etc.</t>
  </si>
  <si>
    <t>Painting the old wood work with one coat of approved first class synthetic enamel ready mixed paint.</t>
  </si>
  <si>
    <t>Painting the old iron work with one coat of approved first class synthetic enamel ready mixed paint.</t>
  </si>
  <si>
    <t>Women Lockup</t>
  </si>
  <si>
    <t>Record room</t>
  </si>
  <si>
    <t>Writer room</t>
  </si>
  <si>
    <t>Toilet</t>
  </si>
  <si>
    <t>SI room</t>
  </si>
  <si>
    <t>Verandah</t>
  </si>
  <si>
    <t>Portico</t>
  </si>
  <si>
    <t xml:space="preserve">Supplying and fixing of Indian Water Closet white galzed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t>
  </si>
  <si>
    <t>Store</t>
  </si>
  <si>
    <t>Bath</t>
  </si>
  <si>
    <t>D/F GD</t>
  </si>
  <si>
    <t>D/F W1</t>
  </si>
  <si>
    <t>D/F W</t>
  </si>
  <si>
    <t>D/F GV</t>
  </si>
  <si>
    <t>Outer alround</t>
  </si>
  <si>
    <t>W sunshade top</t>
  </si>
  <si>
    <t>W1 sunshade top</t>
  </si>
  <si>
    <t>Grill door GD1</t>
  </si>
  <si>
    <t>Grill door GD</t>
  </si>
  <si>
    <t>Grill window</t>
  </si>
  <si>
    <t>Grill Ventilator</t>
  </si>
  <si>
    <t>Dewatering and cleaning the sludge from septic tank using required skilled labour and hydralic pumpset and cleaning away from the site</t>
  </si>
  <si>
    <t>Or</t>
  </si>
  <si>
    <t>DOWN FALL PIPE    Type- A  SWR pipe</t>
  </si>
  <si>
    <t>Mason IInd class</t>
  </si>
  <si>
    <t>PAINTING TWO COATS OVER NEW           (as per PWD Standard Data)</t>
  </si>
  <si>
    <t>SALEM  DIVISION</t>
  </si>
  <si>
    <t>Special Repair works to  Existing Police Station at Thandrampattu in Tiruvannamalai district.</t>
  </si>
  <si>
    <t>Weathering coursewith concrete broken brick jelly 20mm gauge in pure burnt lime stone etc.</t>
  </si>
  <si>
    <r>
      <t xml:space="preserve">Supplying, laying, fixing and jointing the following PVC pipes as per </t>
    </r>
    <r>
      <rPr>
        <b/>
        <sz val="10"/>
        <rFont val="Times New Roman"/>
        <family val="1"/>
      </rPr>
      <t>ASTM D - 1785</t>
    </r>
    <r>
      <rPr>
        <sz val="10"/>
        <rFont val="Times New Roman"/>
        <family val="1"/>
      </rPr>
      <t xml:space="preserve">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t>
    </r>
  </si>
  <si>
    <t>a) 32mm ASTM D schedule 40 threaded PVC pipe with necessary PVC/GI specials</t>
  </si>
  <si>
    <t>b) 25mm ASTM D schedule 40 threaded PVC pipe with necessary PVC/GI specials</t>
  </si>
  <si>
    <t>c) 20mm ASTM D schedule 40 threaded PVC pipe with necessary PVC/GI specials</t>
  </si>
  <si>
    <t>Supplying and fixing of VERTIFIEDTiles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t>
  </si>
  <si>
    <t>Plastering with cm 1:5 (One of cement and five of sand) 12mm thick finished with neat cement including providing band cornice, ceiling cornice, curing, scaffolding, etc., complete in all respects and complying with relevant standard specifications.</t>
  </si>
  <si>
    <t>Weathering Course with concrete broken brick jelly 20mm gauge in pure burnt stone lime slaked and screened (No Sand) over RCC Roof Slab with proportion of brick jelly to lime (fat lime) being 32: 12 1/2 by volume well beaten with wooden beaters for giving the required slope and thickness complying with relevant standard specification and as directed by the departmental officers.</t>
  </si>
  <si>
    <t>a.) Light point with ceiling rose</t>
  </si>
  <si>
    <t xml:space="preserve">b.) Light point without ceiling rose </t>
  </si>
  <si>
    <r>
      <t xml:space="preserve">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t>
    </r>
    <r>
      <rPr>
        <b/>
        <sz val="10"/>
        <rFont val="Times New Roman"/>
        <family val="1"/>
      </rPr>
      <t>a.) Electric fan 1200mm sweep</t>
    </r>
  </si>
  <si>
    <t xml:space="preserve">Supplying and fixing of 4mm thick pin headed Glass panels with aluminium anodised ‘U’ shape beeding of size 12x12mm with 107 gram in average weight for 1m length with aluminium bolts and nuts for the shutters of the steel windows already supplied to suit all the size and as directed by the departmental officers. (The quality of glass and aluminium beeding should be got approved from the Executive Engineer before use). </t>
  </si>
  <si>
    <r>
      <t xml:space="preserve">supplying and fixing  of half turn </t>
    </r>
    <r>
      <rPr>
        <b/>
        <sz val="10"/>
        <rFont val="Times New Roman"/>
        <family val="1"/>
      </rPr>
      <t>C.P Long body tap</t>
    </r>
    <r>
      <rPr>
        <sz val="10"/>
        <rFont val="Times New Roman"/>
        <family val="1"/>
      </rPr>
      <t xml:space="preserve"> of best quality including cost of fittings with required specials, bends, labour for fixing etc., all complete and as directed by the departmental officers. (Quality and brand of fittings should be got approved from Executive Engineer before use).</t>
    </r>
  </si>
  <si>
    <t>supplying and fixing  of 15mm dia C.P Short body tap of best quality.</t>
  </si>
  <si>
    <t>Supplying and fixing the following dia PVC (SWR)  pipe with ISI mark type B for soil line.</t>
  </si>
  <si>
    <t>a.) 110mm dia PVC SWR pipe.</t>
  </si>
  <si>
    <t>b.) 75mm dia PVC SWR pipe.</t>
  </si>
  <si>
    <t>Supplying and delivery of the suitable hydraulic tested 2 HP monoblock pumpset with gunmetal impellar etc complete.</t>
  </si>
  <si>
    <t>Labour charges for errection of horizontally shaft ordinary pumpset coupled monoblock in sump including fixing pipe and foot value upto maixmum depth of 2.00m and delivery the pipe etc complete. upto 3.00 HP.EER No: 72/ 2012-13"</t>
  </si>
  <si>
    <r>
      <t xml:space="preserve">supplying and fixing  of half turn </t>
    </r>
    <r>
      <rPr>
        <b/>
        <sz val="10"/>
        <rFont val="Times New Roman"/>
        <family val="1"/>
      </rPr>
      <t>C.P short body tap</t>
    </r>
    <r>
      <rPr>
        <sz val="10"/>
        <rFont val="Times New Roman"/>
        <family val="1"/>
      </rPr>
      <t xml:space="preserve"> of best quality including cost of fittings with required specials, bends, labour for fixing etc., all complete and as directed by the departmental officers. (Quality and brand of fittings should be got approved from Executive Engineer before use).</t>
    </r>
  </si>
  <si>
    <t>Painting the old walls with one coat of Matt paint including patty, brushes curing etc,.</t>
  </si>
  <si>
    <t>VILLUPURAM DIVISION</t>
  </si>
  <si>
    <t>1.5</t>
  </si>
  <si>
    <t>Earth work excavation for open foundation in all soils and sub- soils etc all complete.</t>
  </si>
  <si>
    <t>A) 0m to 2m depth</t>
  </si>
  <si>
    <t>Sump 1</t>
  </si>
  <si>
    <t>add Sundreis</t>
  </si>
  <si>
    <t>Head room</t>
  </si>
  <si>
    <t>Open terrace</t>
  </si>
  <si>
    <t>Head room flash tiles</t>
  </si>
  <si>
    <t>Open terrace flash tiles</t>
  </si>
  <si>
    <t>Portico flash tiles</t>
  </si>
  <si>
    <t>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t>
  </si>
  <si>
    <t>Police Station</t>
  </si>
  <si>
    <t>OHT outlet</t>
  </si>
  <si>
    <t>Bath and toilet</t>
  </si>
  <si>
    <t>&lt;=</t>
  </si>
  <si>
    <t>Rest room wc</t>
  </si>
  <si>
    <t>Dismantling, clearing away and carefully stocking materials for the Pressed tiles and weathering course work etc complete.</t>
  </si>
  <si>
    <t>SI &amp; INS</t>
  </si>
  <si>
    <t>campus</t>
  </si>
  <si>
    <t>Window</t>
  </si>
  <si>
    <t>Window W1</t>
  </si>
  <si>
    <t>Painting two coats using exterior emulsion  of approved brand over the priming coat on cement plastered / concrete wall surfaces or other similar works including cost of matt - paints, putty, brushes, watering, curing, etc., all complete as directed by the departmental officers (paints and its shade shall be got approved from the Executive Engineer before use)</t>
  </si>
  <si>
    <t>PC/HC Main Door, Bed</t>
  </si>
  <si>
    <t>PC/HC Qtrs Toilet door</t>
  </si>
  <si>
    <t>Providing one coat of Fosroc Nitocote AW primer and Two coats of Fosroc Brushbond roof guard high fibre reinforement acrylic single component water proofing coating over the primer surface area ones dries up one after another coat complete neat finish for pressed tiles</t>
  </si>
  <si>
    <t>Name of Work: Special Repair works to  Existing Police Station at Thandrampattu in Tiruvannamalai district.</t>
  </si>
  <si>
    <t>Thandrampattu</t>
  </si>
  <si>
    <t>Supplying and fixing of Indian Water Closet white galzed (oriya type) of size 580 mm X 440 mm of approved make with ISI mark (to be got approved from EE before use) with P or S trap confirming to IS 2556 part 12, including concrete packing filling portion</t>
  </si>
  <si>
    <t>Painting the new walls in with Two coats of Oil Bound Distemper over primer coat of white cement of approved brand over cement plastered wall surfaces including cost of paints, putty, brushes, watering, curing etc., all complete as directed by departmenta</t>
  </si>
  <si>
    <t>Matt paint GF alround</t>
  </si>
  <si>
    <r>
      <t xml:space="preserve">Dismantling, clearing away and carefully stocking materials for the Pressed tiles work etc complete. </t>
    </r>
    <r>
      <rPr>
        <b/>
        <sz val="10"/>
        <rFont val="Times New Roman"/>
        <family val="1"/>
      </rPr>
      <t>PWD SR P-22/2023-24</t>
    </r>
  </si>
  <si>
    <r>
      <t xml:space="preserve">Providing one coat of Fosroc Nitocote AW primer and Two coats of Fosroc Brushbond roof guard high fibre reinforement acrylic single component water proofing coating over the primer surface area ones dries up one after another coat complete neat finish for pressed tiles </t>
    </r>
    <r>
      <rPr>
        <b/>
        <sz val="10"/>
        <rFont val="Times New Roman"/>
        <family val="1"/>
      </rPr>
      <t>Quotation</t>
    </r>
  </si>
  <si>
    <t>Allappanur</t>
  </si>
  <si>
    <t>Chithatur(Cheyyar)</t>
  </si>
  <si>
    <t>Muraiyar</t>
  </si>
  <si>
    <t>Thiruvannamalai</t>
  </si>
  <si>
    <r>
      <t>Supplying and fixing of</t>
    </r>
    <r>
      <rPr>
        <b/>
        <sz val="10"/>
        <rFont val="Times New Roman"/>
        <family val="1"/>
      </rPr>
      <t xml:space="preserve"> UPVC doors</t>
    </r>
    <r>
      <rPr>
        <sz val="10"/>
        <rFont val="Times New Roman"/>
        <family val="1"/>
      </rPr>
      <t xml:space="preserve">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The shutter frame is mitered and joined at the corners by means of high quality Stainless steel / Aluminium screws.</t>
    </r>
  </si>
  <si>
    <t xml:space="preserve">Supplying and fixing of colour Ceramic Tiles Anti skid without corrugated design for flooring and other similar works (Best approved quality,  colour and shade shall be got approved from the Executive Engineer before using) over cement mortor 1:3 (One of </t>
  </si>
  <si>
    <t xml:space="preserve">                                     Asst.Exe.Engineer</t>
  </si>
  <si>
    <t>Supply, fixing of 30W LED street light etc.,</t>
  </si>
  <si>
    <t>Supplying and fixing of Colour glazed tiles (Best approved quality and the same shall be got approved from the Executive Engineer before using) over cement plastering in CM 1:2 (One of cement and two of sand) 10mm thick including fixing in position</t>
  </si>
  <si>
    <t xml:space="preserve">Labour Welfare fund @ 1.00%   </t>
  </si>
  <si>
    <t>Supervision Charges  @  7.5 %</t>
  </si>
  <si>
    <t>High roof</t>
  </si>
  <si>
    <t>S/W toilet</t>
  </si>
  <si>
    <t>Men rest</t>
  </si>
  <si>
    <t>Men rest toilet</t>
  </si>
  <si>
    <t>Portico parapet</t>
  </si>
  <si>
    <t>PS outer</t>
  </si>
  <si>
    <t>Mens toilet</t>
  </si>
  <si>
    <t>Bulkhead ,street light</t>
  </si>
  <si>
    <t>Supplying and fixing of 30 W LED street light etc</t>
  </si>
  <si>
    <t>Painting the old walls in with Two coats of Oil Bound Distemper over primer coat of white cement of approved brand over cement plastered wall surfaces including cost of paints, putty, brushes, watering, curing etc., all complete as directed by departmental officers(paints and its shade be got approved from the Executive Engineer before use).</t>
  </si>
  <si>
    <t>Painting old walls with two coats using exterior emulsion  of approved brand over the priming coat on cement plastered / concrete wall surfaces or other similar works including cost of matt - paints, putty, brushes, watering, curing, etc., all complete as directed by the departmental officers (paints and its shade shall be got approved from the Executive Engineer before use)</t>
  </si>
  <si>
    <t>Supplying and fixing 4mm thick pin</t>
  </si>
  <si>
    <t>JETVM</t>
  </si>
  <si>
    <t>AEE/TVM</t>
  </si>
  <si>
    <r>
      <t xml:space="preserve">P.V.C. SOIL BENDWITH DOOR 110mm DIA </t>
    </r>
    <r>
      <rPr>
        <b/>
        <sz val="12"/>
        <rFont val="Cambria"/>
        <family val="1"/>
        <scheme val="major"/>
      </rPr>
      <t xml:space="preserve">Qtn </t>
    </r>
  </si>
  <si>
    <r>
      <t xml:space="preserve">PROVIDING ANTI-TERMITE TREATMENT </t>
    </r>
    <r>
      <rPr>
        <b/>
        <sz val="12"/>
        <rFont val="Cambria"/>
        <family val="1"/>
        <scheme val="major"/>
      </rPr>
      <t>Say 34</t>
    </r>
  </si>
  <si>
    <r>
      <t xml:space="preserve">COST OF Vertified TILES  </t>
    </r>
    <r>
      <rPr>
        <b/>
        <sz val="12"/>
        <rFont val="Cambria"/>
        <family val="1"/>
        <scheme val="major"/>
      </rPr>
      <t>qtn</t>
    </r>
  </si>
  <si>
    <r>
      <t xml:space="preserve">Granite slab </t>
    </r>
    <r>
      <rPr>
        <b/>
        <sz val="12"/>
        <rFont val="Cambria"/>
        <family val="1"/>
        <scheme val="major"/>
      </rPr>
      <t>(Ruby red) P-36 it-29b</t>
    </r>
  </si>
  <si>
    <t>ANTI-CORROSIVE(COROLOK-CP ( qtn)</t>
  </si>
  <si>
    <t>Painting / lettering charges qtn</t>
  </si>
  <si>
    <r>
      <t>Supplying, fabricating and fixing inposition A</t>
    </r>
    <r>
      <rPr>
        <b/>
        <sz val="11"/>
        <rFont val="Cambria"/>
        <family val="1"/>
        <scheme val="major"/>
      </rPr>
      <t>luminium anodised natural colour matt finish four Track Sliding Window</t>
    </r>
    <r>
      <rPr>
        <sz val="11"/>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Cambria"/>
        <family val="1"/>
        <scheme val="major"/>
      </rPr>
      <t>1.80mm x 1.35 mm</t>
    </r>
  </si>
  <si>
    <r>
      <t>Supplying, fabricating and fixing inposition A</t>
    </r>
    <r>
      <rPr>
        <b/>
        <sz val="11"/>
        <rFont val="Cambria"/>
        <family val="1"/>
        <scheme val="major"/>
      </rPr>
      <t>luminium anodised natural colour matt finish four Track Sliding Window</t>
    </r>
    <r>
      <rPr>
        <sz val="11"/>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Cambria"/>
        <family val="1"/>
        <scheme val="major"/>
      </rPr>
      <t>1.80mm x 1.35 mm</t>
    </r>
  </si>
  <si>
    <t>ONE COAT OF WALL PATTY         CHENNAI CITY</t>
  </si>
  <si>
    <t>SI room and station writer</t>
  </si>
  <si>
    <t>Passage</t>
  </si>
  <si>
    <t>Lockup Men</t>
  </si>
  <si>
    <t>Reception</t>
  </si>
  <si>
    <t>Lockuproom Women</t>
  </si>
  <si>
    <t>OTS Parapet</t>
  </si>
  <si>
    <t>Men Lockup</t>
  </si>
  <si>
    <t>Toilet &amp; Bath</t>
  </si>
  <si>
    <t xml:space="preserve">Store </t>
  </si>
  <si>
    <t>D/f D</t>
  </si>
  <si>
    <t>D/f D1</t>
  </si>
  <si>
    <t>D/f W</t>
  </si>
  <si>
    <t>D/f W1</t>
  </si>
  <si>
    <t>D/F V</t>
  </si>
  <si>
    <t xml:space="preserve">D/F GD </t>
  </si>
  <si>
    <t>D/F Open</t>
  </si>
  <si>
    <t>D/F collapsal gate</t>
  </si>
  <si>
    <t>D jams</t>
  </si>
  <si>
    <t>D1 jams</t>
  </si>
  <si>
    <t>W jams</t>
  </si>
  <si>
    <t>W1 jams</t>
  </si>
  <si>
    <t>GD jams</t>
  </si>
  <si>
    <t xml:space="preserve">Collapsal gate </t>
  </si>
  <si>
    <t>GV jams</t>
  </si>
  <si>
    <t>V jams</t>
  </si>
  <si>
    <t>Open jams</t>
  </si>
  <si>
    <t>Jally Jams J (1.8 x1.65)</t>
  </si>
  <si>
    <t>Jally Jams J1 (1.9x1.3)</t>
  </si>
  <si>
    <t>Lock up room toilet</t>
  </si>
  <si>
    <t>Terrace high roof wall</t>
  </si>
  <si>
    <t xml:space="preserve">jams GD </t>
  </si>
  <si>
    <t>jams</t>
  </si>
  <si>
    <t>edges</t>
  </si>
  <si>
    <t>sides</t>
  </si>
  <si>
    <t>Slope front</t>
  </si>
  <si>
    <t>Men Lockup offset</t>
  </si>
  <si>
    <t>Beam side</t>
  </si>
  <si>
    <t xml:space="preserve">Projection high roof </t>
  </si>
  <si>
    <t>Door</t>
  </si>
  <si>
    <t>Door1</t>
  </si>
  <si>
    <t>W1</t>
  </si>
  <si>
    <t>W</t>
  </si>
  <si>
    <t>Ladder</t>
  </si>
  <si>
    <t>Terrace</t>
  </si>
  <si>
    <t>Portico terrace</t>
  </si>
  <si>
    <t xml:space="preserve">Skirting </t>
  </si>
  <si>
    <t xml:space="preserve">High roof projection </t>
  </si>
  <si>
    <t>Beam</t>
  </si>
  <si>
    <t>Total 60%</t>
  </si>
  <si>
    <t>Total 40%</t>
  </si>
  <si>
    <t>Petty Supervision  and contingency 2.5 %</t>
  </si>
  <si>
    <t>C toilet</t>
  </si>
  <si>
    <t>Supplying and fixing Mild Steel grills as per the design approved to verandah enclosure or gate including one coat of primer and labour for fixing in position etc. all complete</t>
  </si>
  <si>
    <t>Lader (6.5 x 0.4)</t>
  </si>
  <si>
    <t>Painting the new Iron work and other similar works such as PVC /ASTM Pipes, Kerb Stone and grills with two coats of approved first class synthetic enamel ready mixed paint of approved quality and brand, the paint should be supplied by the contractor at hi</t>
  </si>
  <si>
    <t>Kg/sqm</t>
  </si>
  <si>
    <t>co-eef</t>
  </si>
  <si>
    <t>Run of main with 2 wires of 1.5 sq.mm. copper PVC insulated unsheathed single core 1.1 kv grade cablewith continuous earth by meansof 1.5 sqm copper PVC insulated unsheathed single core1.1. k.v. grade cable in fully concealed   19mm/20mm dia rigidPVC cond</t>
  </si>
  <si>
    <t xml:space="preserve">Manin board to switch board </t>
  </si>
  <si>
    <t>Supply and run of 2 of 4 sqmm PVC insulated unsheathed copper cable of 1100V grade in suitable 19 mm PVC rigid pipe concealed in wall and ceiling / on surface with continuous earth connection by 2.5 sq.mm PVC unsheathed copper conductors for mains  and ma</t>
  </si>
  <si>
    <t xml:space="preserve">Manin switch board </t>
  </si>
  <si>
    <t>Supply and Fixing Aluminium letters with approved colour powder coat in finishing matt including cost of materials, necessary  drilling holes packing cement mortar, supporting the letter cement base bolds and fixing charges etc, complete as directed by the departmental officers.</t>
  </si>
  <si>
    <t>25 cm  (10" )</t>
  </si>
  <si>
    <t xml:space="preserve">Thandrampattu H-3 Police Station </t>
  </si>
  <si>
    <t>PWD SR P No: 72 / 2023 / 2024 item No:  M 0694</t>
  </si>
  <si>
    <t xml:space="preserve">Painting two coats with ready mixed plastic emulson paint of first class quality paint of approved colour and shade other similar works over one coat of primer for plastic emulsion paint including cost of necessary brushes, labour charges, patty etc., complying with relevant standard specification. The primer and paint should be supplied by the contractors at his own cost. (The quality and shade of the paint should be got approved by the  Executive engineer before use.) </t>
  </si>
  <si>
    <t xml:space="preserve">D/F New Paint </t>
  </si>
  <si>
    <t xml:space="preserve">JE/TVM                                                   AEE/TVM                                                                 EE/SLM </t>
  </si>
  <si>
    <t>Special ceiling plastering in cement mortar 1:3 (One of cement and three of sand) 20 mm thick for bottom of roof, stair, waist, landing and sunshades in all floors finished with neat cement including hacking the areas, providing band cornice, scaffolding, curing etc., complete complying with standard specification.</t>
  </si>
  <si>
    <t xml:space="preserve">Men Rest Room </t>
  </si>
  <si>
    <t xml:space="preserve">Lockup </t>
  </si>
  <si>
    <t xml:space="preserve">White washing three coats for ceiling using clean shell lime slaked including cost of lime, gum, blue, brushes, including scaffolding, thorough scrapping and washing with soap, soda water etc., all complete and complying with relevant standard specifications. </t>
  </si>
  <si>
    <t>D/F New white washing</t>
  </si>
  <si>
    <t>JE/TVM                                 AEE/TVM                                                                        EE/SLM</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</si>
</sst>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Rs.&quot;\ #,##0;&quot;Rs.&quot;\ \-#,##0"/>
    <numFmt numFmtId="8" formatCode="&quot;Rs.&quot;\ #,##0.00;[Red]&quot;Rs.&quot;\ \-#,##0.00"/>
    <numFmt numFmtId="164" formatCode="&quot;$&quot;#,##0_);[Red]\(&quot;$&quot;#,##0\)"/>
    <numFmt numFmtId="165" formatCode="_(&quot;$&quot;* #,##0_);_(&quot;$&quot;* \(#,##0\);_(&quot;$&quot;* &quot;-&quot;_);_(@_)"/>
    <numFmt numFmtId="166" formatCode="_(* #,##0.00_);_(* \(#,##0.00\);_(* &quot;-&quot;??_);_(@_)"/>
    <numFmt numFmtId="167" formatCode="&quot;₹&quot;\ #,##0;&quot;₹&quot;\ \-#,##0"/>
    <numFmt numFmtId="168" formatCode="_ &quot;₹&quot;\ * #,##0.00_ ;_ &quot;₹&quot;\ * \-#,##0.00_ ;_ &quot;₹&quot;\ * &quot;-&quot;??_ ;_ @_ "/>
    <numFmt numFmtId="169" formatCode="0.00_)"/>
    <numFmt numFmtId="170" formatCode="0_)"/>
    <numFmt numFmtId="171" formatCode="0.000_)"/>
    <numFmt numFmtId="172" formatCode="0.0_)"/>
    <numFmt numFmtId="173" formatCode="0.00000_)"/>
    <numFmt numFmtId="174" formatCode="0.0000_)"/>
    <numFmt numFmtId="175" formatCode="0.000000_)"/>
    <numFmt numFmtId="176" formatCode="0.0"/>
    <numFmt numFmtId="177" formatCode="0.000"/>
    <numFmt numFmtId="178" formatCode="0.0000"/>
    <numFmt numFmtId="179" formatCode="0.00000000_)"/>
    <numFmt numFmtId="180" formatCode="0.000000"/>
    <numFmt numFmtId="181" formatCode="_-&quot;€&quot;* #,##0.00_-;\-&quot;€&quot;* #,##0.00_-;_-&quot;€&quot;* &quot;-&quot;??_-;_-@_-"/>
  </numFmts>
  <fonts count="126">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sz val="11"/>
      <name val="Cambria"/>
      <family val="1"/>
      <scheme val="major"/>
    </font>
    <font>
      <sz val="13"/>
      <name val="Cambria"/>
      <family val="1"/>
      <scheme val="major"/>
    </font>
    <font>
      <b/>
      <sz val="12"/>
      <color indexed="8"/>
      <name val="Cambria"/>
      <family val="1"/>
      <scheme val="major"/>
    </font>
    <font>
      <sz val="20"/>
      <name val="Cambria"/>
      <family val="1"/>
      <scheme val="major"/>
    </font>
    <font>
      <b/>
      <sz val="15"/>
      <name val="Cambria"/>
      <family val="1"/>
      <scheme val="major"/>
    </font>
    <font>
      <b/>
      <sz val="12"/>
      <color rgb="FFFFFF00"/>
      <name val="Cambria"/>
      <family val="1"/>
      <scheme val="major"/>
    </font>
    <font>
      <sz val="16"/>
      <name val="Cambria"/>
      <family val="1"/>
      <scheme val="major"/>
    </font>
    <font>
      <b/>
      <sz val="13"/>
      <name val="Cambria"/>
      <family val="1"/>
      <scheme val="major"/>
    </font>
    <font>
      <sz val="12"/>
      <color theme="1"/>
      <name val="Cambria"/>
      <family val="1"/>
      <scheme val="major"/>
    </font>
    <font>
      <sz val="14"/>
      <name val="Cambria"/>
      <family val="1"/>
      <scheme val="major"/>
    </font>
    <font>
      <b/>
      <u/>
      <sz val="13"/>
      <name val="Cambria"/>
      <family val="1"/>
      <scheme val="major"/>
    </font>
    <font>
      <b/>
      <sz val="18"/>
      <name val="Cambria"/>
      <family val="1"/>
      <scheme val="major"/>
    </font>
    <font>
      <b/>
      <sz val="14"/>
      <color theme="1"/>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vertAlign val="superscript"/>
      <sz val="14"/>
      <name val="Cambria"/>
      <family val="1"/>
      <scheme val="major"/>
    </font>
    <font>
      <u/>
      <sz val="14"/>
      <name val="Cambria"/>
      <family val="1"/>
      <scheme val="major"/>
    </font>
    <font>
      <b/>
      <u val="double"/>
      <sz val="10"/>
      <name val="Times New Roman"/>
      <family val="1"/>
    </font>
    <font>
      <sz val="10"/>
      <name val="Times New Roman"/>
      <family val="1"/>
    </font>
    <font>
      <b/>
      <sz val="10"/>
      <name val="Times New Roman"/>
      <family val="1"/>
    </font>
    <font>
      <b/>
      <u/>
      <sz val="10"/>
      <name val="Times New Roman"/>
      <family val="1"/>
    </font>
    <font>
      <sz val="10"/>
      <color rgb="FF000000"/>
      <name val="Times New Roman"/>
      <family val="1"/>
    </font>
    <font>
      <sz val="10"/>
      <name val="Arial"/>
      <family val="2"/>
    </font>
    <font>
      <u val="double"/>
      <sz val="14"/>
      <name val="Times New Roman"/>
      <family val="1"/>
    </font>
    <font>
      <b/>
      <u/>
      <sz val="14"/>
      <name val="Times New Roman"/>
      <family val="1"/>
    </font>
    <font>
      <b/>
      <u/>
      <sz val="11"/>
      <name val="Times New Roman"/>
      <family val="1"/>
    </font>
    <font>
      <sz val="10"/>
      <name val="Century"/>
      <family val="1"/>
    </font>
  </fonts>
  <fills count="11">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60">
    <xf numFmtId="169" fontId="0" fillId="0" borderId="0"/>
    <xf numFmtId="166" fontId="1" fillId="0" borderId="0" applyFont="0" applyFill="0" applyBorder="0" applyAlignment="0" applyProtection="0"/>
    <xf numFmtId="164" fontId="24" fillId="0" borderId="0" applyFont="0" applyFill="0" applyBorder="0" applyAlignment="0" applyProtection="0"/>
    <xf numFmtId="166" fontId="14" fillId="0" borderId="0" applyFont="0" applyFill="0" applyBorder="0" applyAlignment="0" applyProtection="0"/>
    <xf numFmtId="8"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9" fontId="29" fillId="0" borderId="0"/>
    <xf numFmtId="165" fontId="5" fillId="0" borderId="0"/>
    <xf numFmtId="0" fontId="14" fillId="0" borderId="0"/>
    <xf numFmtId="5"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5" fontId="5" fillId="0" borderId="0"/>
    <xf numFmtId="167" fontId="5" fillId="0" borderId="0"/>
    <xf numFmtId="0" fontId="14" fillId="0" borderId="0"/>
    <xf numFmtId="169" fontId="5" fillId="0" borderId="0"/>
    <xf numFmtId="169" fontId="5" fillId="0" borderId="0"/>
    <xf numFmtId="0" fontId="36" fillId="0" borderId="0"/>
    <xf numFmtId="0" fontId="14" fillId="0" borderId="0"/>
    <xf numFmtId="0" fontId="14" fillId="0" borderId="0"/>
    <xf numFmtId="0" fontId="36" fillId="0" borderId="0"/>
    <xf numFmtId="168" fontId="5" fillId="0" borderId="0"/>
    <xf numFmtId="168" fontId="5" fillId="0" borderId="0"/>
    <xf numFmtId="168" fontId="5" fillId="0" borderId="0"/>
    <xf numFmtId="181"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xf numFmtId="0" fontId="1" fillId="0" borderId="0"/>
    <xf numFmtId="169" fontId="5" fillId="0" borderId="0"/>
    <xf numFmtId="0" fontId="5" fillId="0" borderId="0"/>
    <xf numFmtId="5" fontId="5" fillId="0" borderId="0"/>
    <xf numFmtId="0" fontId="1" fillId="0" borderId="0"/>
    <xf numFmtId="0" fontId="1" fillId="0" borderId="0"/>
    <xf numFmtId="0" fontId="26" fillId="0" borderId="0"/>
    <xf numFmtId="0" fontId="1" fillId="0" borderId="0"/>
    <xf numFmtId="0" fontId="120" fillId="0" borderId="0"/>
    <xf numFmtId="0" fontId="121" fillId="0" borderId="0"/>
  </cellStyleXfs>
  <cellXfs count="1048">
    <xf numFmtId="169" fontId="0" fillId="0" borderId="0" xfId="0"/>
    <xf numFmtId="169" fontId="0" fillId="0" borderId="0" xfId="0" applyAlignment="1">
      <alignment horizontal="left"/>
    </xf>
    <xf numFmtId="169" fontId="0" fillId="0" borderId="0" xfId="0" applyAlignment="1">
      <alignment horizontal="center"/>
    </xf>
    <xf numFmtId="169" fontId="0" fillId="0" borderId="0" xfId="0" applyAlignment="1">
      <alignment horizontal="fill"/>
    </xf>
    <xf numFmtId="169" fontId="0" fillId="0" borderId="0" xfId="0" applyAlignment="1">
      <alignment horizontal="right"/>
    </xf>
    <xf numFmtId="171" fontId="0" fillId="0" borderId="0" xfId="0" applyNumberFormat="1"/>
    <xf numFmtId="173" fontId="0" fillId="0" borderId="0" xfId="0" applyNumberFormat="1"/>
    <xf numFmtId="174" fontId="0" fillId="0" borderId="0" xfId="0" applyNumberFormat="1"/>
    <xf numFmtId="171" fontId="0" fillId="0" borderId="0" xfId="0" applyNumberFormat="1" applyAlignment="1">
      <alignment horizontal="center"/>
    </xf>
    <xf numFmtId="172" fontId="0" fillId="0" borderId="0" xfId="0" applyNumberFormat="1" applyAlignment="1">
      <alignment horizontal="center"/>
    </xf>
    <xf numFmtId="169" fontId="4" fillId="0" borderId="0" xfId="0" applyFont="1" applyAlignment="1">
      <alignment horizontal="left"/>
    </xf>
    <xf numFmtId="169" fontId="4" fillId="0" borderId="0" xfId="0" applyFont="1"/>
    <xf numFmtId="169" fontId="4" fillId="0" borderId="0" xfId="0" applyFont="1" applyAlignment="1">
      <alignment horizontal="center"/>
    </xf>
    <xf numFmtId="169" fontId="5" fillId="0" borderId="0" xfId="0" applyFont="1"/>
    <xf numFmtId="169" fontId="0" fillId="0" borderId="0" xfId="0" quotePrefix="1"/>
    <xf numFmtId="169" fontId="5" fillId="0" borderId="0" xfId="0" quotePrefix="1" applyFont="1"/>
    <xf numFmtId="169" fontId="5" fillId="0" borderId="0" xfId="0" applyFont="1" applyAlignment="1">
      <alignment horizontal="left"/>
    </xf>
    <xf numFmtId="171" fontId="5" fillId="0" borderId="0" xfId="0" applyNumberFormat="1" applyFont="1"/>
    <xf numFmtId="174" fontId="5" fillId="0" borderId="0" xfId="0" applyNumberFormat="1" applyFont="1"/>
    <xf numFmtId="173" fontId="5" fillId="0" borderId="0" xfId="0" applyNumberFormat="1" applyFont="1"/>
    <xf numFmtId="2" fontId="0" fillId="0" borderId="0" xfId="0" applyNumberFormat="1"/>
    <xf numFmtId="2" fontId="4" fillId="0" borderId="0" xfId="0" applyNumberFormat="1" applyFont="1"/>
    <xf numFmtId="169" fontId="3" fillId="0" borderId="0" xfId="0" applyFont="1" applyAlignment="1">
      <alignment horizontal="left"/>
    </xf>
    <xf numFmtId="169" fontId="3" fillId="0" borderId="0" xfId="0" applyFont="1"/>
    <xf numFmtId="169" fontId="9" fillId="0" borderId="0" xfId="0" applyFont="1"/>
    <xf numFmtId="169" fontId="9" fillId="0" borderId="0" xfId="0" applyFont="1" applyAlignment="1">
      <alignment horizontal="center"/>
    </xf>
    <xf numFmtId="169" fontId="9" fillId="0" borderId="0" xfId="0" applyFont="1" applyAlignment="1">
      <alignment horizontal="right"/>
    </xf>
    <xf numFmtId="169" fontId="3" fillId="0" borderId="0" xfId="0" applyFont="1" applyAlignment="1">
      <alignment horizontal="right"/>
    </xf>
    <xf numFmtId="169" fontId="9" fillId="0" borderId="0" xfId="0" applyFont="1" applyAlignment="1">
      <alignment horizontal="left"/>
    </xf>
    <xf numFmtId="169" fontId="9" fillId="0" borderId="0" xfId="0" applyFont="1" applyAlignment="1">
      <alignment horizontal="fill"/>
    </xf>
    <xf numFmtId="169" fontId="3" fillId="0" borderId="0" xfId="0" applyFont="1" applyAlignment="1">
      <alignment horizontal="center"/>
    </xf>
    <xf numFmtId="169" fontId="9" fillId="0" borderId="0" xfId="0" applyFont="1" applyAlignment="1">
      <alignment horizontal="left" wrapText="1"/>
    </xf>
    <xf numFmtId="173" fontId="9" fillId="0" borderId="0" xfId="0" applyNumberFormat="1" applyFont="1"/>
    <xf numFmtId="174" fontId="9" fillId="0" borderId="0" xfId="0" applyNumberFormat="1" applyFont="1"/>
    <xf numFmtId="173" fontId="9" fillId="0" borderId="0" xfId="0" applyNumberFormat="1" applyFont="1" applyAlignment="1">
      <alignment horizontal="left"/>
    </xf>
    <xf numFmtId="174" fontId="4" fillId="0" borderId="0" xfId="0" applyNumberFormat="1" applyFont="1" applyAlignment="1">
      <alignment horizontal="right"/>
    </xf>
    <xf numFmtId="169" fontId="11" fillId="0" borderId="0" xfId="0" applyFont="1"/>
    <xf numFmtId="169" fontId="4" fillId="0" borderId="0" xfId="0" applyFont="1" applyAlignment="1">
      <alignment wrapText="1"/>
    </xf>
    <xf numFmtId="169" fontId="10" fillId="0" borderId="0" xfId="0" applyFont="1"/>
    <xf numFmtId="169" fontId="0" fillId="0" borderId="0" xfId="0" applyAlignment="1">
      <alignment vertical="top" wrapText="1"/>
    </xf>
    <xf numFmtId="169" fontId="2" fillId="0" borderId="0" xfId="0" applyFont="1" applyAlignment="1">
      <alignment horizontal="left"/>
    </xf>
    <xf numFmtId="171" fontId="3" fillId="0" borderId="0" xfId="0" applyNumberFormat="1" applyFont="1" applyAlignment="1">
      <alignment horizontal="right"/>
    </xf>
    <xf numFmtId="174" fontId="3" fillId="0" borderId="0" xfId="0" applyNumberFormat="1" applyFont="1" applyAlignment="1">
      <alignment horizontal="right"/>
    </xf>
    <xf numFmtId="173" fontId="9" fillId="0" borderId="0" xfId="0" applyNumberFormat="1" applyFont="1" applyAlignment="1">
      <alignment horizontal="right"/>
    </xf>
    <xf numFmtId="171" fontId="9" fillId="0" borderId="0" xfId="0" applyNumberFormat="1" applyFont="1" applyAlignment="1">
      <alignment horizontal="right"/>
    </xf>
    <xf numFmtId="171" fontId="4" fillId="0" borderId="0" xfId="0" applyNumberFormat="1" applyFont="1"/>
    <xf numFmtId="171" fontId="0" fillId="0" borderId="0" xfId="0" applyNumberFormat="1" applyAlignment="1">
      <alignment horizontal="right"/>
    </xf>
    <xf numFmtId="169" fontId="40" fillId="0" borderId="0" xfId="0" applyFont="1"/>
    <xf numFmtId="169" fontId="0" fillId="5" borderId="0" xfId="0" applyFill="1"/>
    <xf numFmtId="169" fontId="10" fillId="0" borderId="0" xfId="0" applyFont="1" applyAlignment="1">
      <alignment horizontal="left"/>
    </xf>
    <xf numFmtId="169" fontId="7" fillId="0" borderId="0" xfId="0" applyFont="1"/>
    <xf numFmtId="169" fontId="41" fillId="0" borderId="0" xfId="0" applyFont="1"/>
    <xf numFmtId="169" fontId="43" fillId="0" borderId="0" xfId="0" applyFont="1"/>
    <xf numFmtId="169" fontId="44" fillId="0" borderId="0" xfId="0" applyFont="1"/>
    <xf numFmtId="169" fontId="44" fillId="0" borderId="0" xfId="0" applyFont="1" applyAlignment="1">
      <alignment horizontal="center"/>
    </xf>
    <xf numFmtId="169" fontId="8" fillId="0" borderId="0" xfId="0" applyFont="1" applyAlignment="1">
      <alignment horizontal="center"/>
    </xf>
    <xf numFmtId="169" fontId="7" fillId="0" borderId="0" xfId="0" applyFont="1" applyAlignment="1">
      <alignment horizontal="center"/>
    </xf>
    <xf numFmtId="171" fontId="7" fillId="0" borderId="0" xfId="0" applyNumberFormat="1" applyFont="1"/>
    <xf numFmtId="174" fontId="7" fillId="0" borderId="0" xfId="0" applyNumberFormat="1" applyFont="1"/>
    <xf numFmtId="169" fontId="7" fillId="0" borderId="0" xfId="0" applyFont="1" applyAlignment="1">
      <alignment horizontal="left"/>
    </xf>
    <xf numFmtId="169" fontId="8" fillId="0" borderId="0" xfId="0" applyFont="1" applyAlignment="1">
      <alignment horizontal="right"/>
    </xf>
    <xf numFmtId="169" fontId="8" fillId="0" borderId="0" xfId="0" applyFont="1"/>
    <xf numFmtId="169" fontId="8" fillId="0" borderId="0" xfId="0" applyFont="1" applyAlignment="1">
      <alignment horizontal="left"/>
    </xf>
    <xf numFmtId="169" fontId="7" fillId="0" borderId="0" xfId="0" applyFont="1" applyAlignment="1">
      <alignment horizontal="right"/>
    </xf>
    <xf numFmtId="169" fontId="7" fillId="0" borderId="0" xfId="0" applyFont="1" applyAlignment="1">
      <alignment horizontal="fill"/>
    </xf>
    <xf numFmtId="169" fontId="11" fillId="0" borderId="0" xfId="0" applyFont="1" applyAlignment="1">
      <alignment horizontal="center"/>
    </xf>
    <xf numFmtId="169" fontId="16" fillId="0" borderId="0" xfId="0" applyFont="1" applyAlignment="1">
      <alignment vertical="center"/>
    </xf>
    <xf numFmtId="169" fontId="17" fillId="0" borderId="0" xfId="0" applyFont="1" applyAlignment="1">
      <alignment vertical="center"/>
    </xf>
    <xf numFmtId="169" fontId="17" fillId="0" borderId="0" xfId="0" applyFont="1" applyAlignment="1">
      <alignment horizontal="center" vertical="center"/>
    </xf>
    <xf numFmtId="169" fontId="16" fillId="0" borderId="0" xfId="0" applyFont="1" applyAlignment="1">
      <alignment horizontal="center" vertical="center"/>
    </xf>
    <xf numFmtId="169" fontId="16" fillId="0" borderId="0" xfId="0" applyFont="1" applyAlignment="1">
      <alignment horizontal="left" vertical="center"/>
    </xf>
    <xf numFmtId="0" fontId="16" fillId="0" borderId="0" xfId="0" applyNumberFormat="1" applyFont="1" applyAlignment="1">
      <alignment vertical="center" wrapText="1"/>
    </xf>
    <xf numFmtId="169" fontId="16" fillId="0" borderId="0" xfId="0" applyFont="1" applyAlignment="1">
      <alignment horizontal="left" vertical="center" wrapText="1"/>
    </xf>
    <xf numFmtId="169"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7"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8"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4"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9" fontId="39" fillId="0" borderId="0" xfId="0" applyFont="1"/>
    <xf numFmtId="169" fontId="7" fillId="0" borderId="0" xfId="0" applyFont="1" applyAlignment="1">
      <alignment horizontal="left" wrapText="1"/>
    </xf>
    <xf numFmtId="0" fontId="4" fillId="0" borderId="0" xfId="0" applyNumberFormat="1" applyFont="1"/>
    <xf numFmtId="171" fontId="13" fillId="0" borderId="0" xfId="0" applyNumberFormat="1" applyFont="1"/>
    <xf numFmtId="169" fontId="13" fillId="0" borderId="0" xfId="0" applyFont="1"/>
    <xf numFmtId="169" fontId="12" fillId="0" borderId="0" xfId="0" applyFont="1"/>
    <xf numFmtId="169" fontId="13" fillId="0" borderId="0" xfId="0" applyFont="1" applyAlignment="1">
      <alignment horizontal="left"/>
    </xf>
    <xf numFmtId="0" fontId="13" fillId="0" borderId="0" xfId="0" applyNumberFormat="1" applyFont="1"/>
    <xf numFmtId="169" fontId="13" fillId="0" borderId="0" xfId="0" applyFont="1" applyAlignment="1">
      <alignment horizontal="center"/>
    </xf>
    <xf numFmtId="169" fontId="12" fillId="0" borderId="0" xfId="0" applyFont="1" applyAlignment="1">
      <alignment horizontal="right"/>
    </xf>
    <xf numFmtId="169" fontId="0" fillId="5" borderId="0" xfId="0" applyFill="1" applyAlignment="1">
      <alignment horizontal="left"/>
    </xf>
    <xf numFmtId="174" fontId="39" fillId="0" borderId="0" xfId="0" applyNumberFormat="1" applyFont="1" applyAlignment="1">
      <alignment vertical="top"/>
    </xf>
    <xf numFmtId="174" fontId="42" fillId="0" borderId="0" xfId="0" applyNumberFormat="1" applyFont="1" applyAlignment="1">
      <alignment horizontal="right"/>
    </xf>
    <xf numFmtId="174" fontId="9" fillId="0" borderId="0" xfId="0" applyNumberFormat="1" applyFont="1" applyAlignment="1">
      <alignment horizontal="center"/>
    </xf>
    <xf numFmtId="169" fontId="3" fillId="0" borderId="0" xfId="0" applyFont="1" applyAlignment="1">
      <alignment vertical="top"/>
    </xf>
    <xf numFmtId="0" fontId="0" fillId="0" borderId="0" xfId="0" applyNumberFormat="1" applyAlignment="1">
      <alignment horizontal="center" vertical="center"/>
    </xf>
    <xf numFmtId="169" fontId="39" fillId="0" borderId="0" xfId="0" applyFont="1" applyAlignment="1">
      <alignment horizontal="right"/>
    </xf>
    <xf numFmtId="0" fontId="0" fillId="5" borderId="0" xfId="0" applyNumberFormat="1" applyFill="1"/>
    <xf numFmtId="177" fontId="0" fillId="0" borderId="0" xfId="0" applyNumberFormat="1"/>
    <xf numFmtId="177" fontId="39" fillId="0" borderId="0" xfId="0" applyNumberFormat="1" applyFont="1"/>
    <xf numFmtId="0" fontId="46" fillId="5" borderId="0" xfId="0" applyNumberFormat="1" applyFont="1" applyFill="1"/>
    <xf numFmtId="0" fontId="47" fillId="5" borderId="0" xfId="0" applyNumberFormat="1" applyFont="1" applyFill="1"/>
    <xf numFmtId="169" fontId="9" fillId="0" borderId="0" xfId="0" applyFont="1" applyAlignment="1">
      <alignment vertical="top"/>
    </xf>
    <xf numFmtId="169" fontId="9" fillId="5" borderId="0" xfId="0" applyFont="1" applyFill="1"/>
    <xf numFmtId="169" fontId="9" fillId="5" borderId="0" xfId="0" applyFont="1" applyFill="1" applyAlignment="1">
      <alignment horizontal="center"/>
    </xf>
    <xf numFmtId="169" fontId="15" fillId="0" borderId="0" xfId="0" applyFont="1" applyAlignment="1">
      <alignment horizontal="left"/>
    </xf>
    <xf numFmtId="169" fontId="9" fillId="0" borderId="0" xfId="0" applyFont="1" applyAlignment="1">
      <alignment wrapText="1"/>
    </xf>
    <xf numFmtId="169" fontId="15" fillId="0" borderId="0" xfId="0" applyFont="1" applyAlignment="1">
      <alignment horizontal="left" wrapText="1"/>
    </xf>
    <xf numFmtId="174" fontId="3" fillId="0" borderId="0" xfId="0" applyNumberFormat="1" applyFont="1"/>
    <xf numFmtId="0" fontId="26" fillId="0" borderId="0" xfId="0" applyNumberFormat="1" applyFont="1" applyAlignment="1">
      <alignment vertical="top"/>
    </xf>
    <xf numFmtId="169" fontId="27" fillId="0" borderId="0" xfId="0" applyFont="1" applyAlignment="1">
      <alignment horizontal="center"/>
    </xf>
    <xf numFmtId="169"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7"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6" fontId="26" fillId="0" borderId="0" xfId="13" applyNumberFormat="1" applyFont="1" applyAlignment="1">
      <alignment horizontal="right" vertical="top" wrapText="1"/>
    </xf>
    <xf numFmtId="2" fontId="50" fillId="0" borderId="0" xfId="0" applyNumberFormat="1" applyFont="1"/>
    <xf numFmtId="0" fontId="26" fillId="0" borderId="14"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5" xfId="0" applyNumberFormat="1" applyFont="1" applyBorder="1" applyAlignment="1">
      <alignment horizontal="justify" vertical="top" wrapText="1"/>
    </xf>
    <xf numFmtId="2" fontId="26" fillId="0" borderId="15" xfId="0" applyNumberFormat="1" applyFont="1" applyBorder="1" applyAlignment="1">
      <alignment horizontal="center" vertical="top" wrapText="1"/>
    </xf>
    <xf numFmtId="49" fontId="26" fillId="0" borderId="15" xfId="0" applyNumberFormat="1" applyFont="1" applyBorder="1" applyAlignment="1">
      <alignment horizontal="center" vertical="top" wrapText="1"/>
    </xf>
    <xf numFmtId="0" fontId="25" fillId="0" borderId="15" xfId="0" applyNumberFormat="1" applyFont="1" applyBorder="1" applyAlignment="1">
      <alignment horizontal="center" vertical="top" wrapText="1"/>
    </xf>
    <xf numFmtId="2" fontId="26" fillId="0" borderId="15" xfId="0" applyNumberFormat="1" applyFont="1" applyBorder="1" applyAlignment="1">
      <alignment horizontal="right" vertical="top" wrapText="1"/>
    </xf>
    <xf numFmtId="0" fontId="25" fillId="0" borderId="15" xfId="0" applyNumberFormat="1" applyFont="1" applyBorder="1" applyAlignment="1">
      <alignment horizontal="left" vertical="top" wrapText="1"/>
    </xf>
    <xf numFmtId="0" fontId="26" fillId="0" borderId="15" xfId="0" applyNumberFormat="1" applyFont="1" applyBorder="1" applyAlignment="1">
      <alignment horizontal="left" vertical="top" wrapText="1"/>
    </xf>
    <xf numFmtId="2" fontId="25" fillId="0" borderId="15"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6"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5" xfId="0" applyNumberFormat="1" applyFont="1" applyBorder="1" applyAlignment="1">
      <alignment horizontal="center" vertical="top" wrapText="1"/>
    </xf>
    <xf numFmtId="2" fontId="26" fillId="0" borderId="15" xfId="0" applyNumberFormat="1" applyFont="1" applyBorder="1" applyAlignment="1">
      <alignment vertical="top" wrapText="1"/>
    </xf>
    <xf numFmtId="2" fontId="25" fillId="0" borderId="15"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9" fontId="26" fillId="0" borderId="0" xfId="0" applyFont="1" applyAlignment="1">
      <alignment vertical="top"/>
    </xf>
    <xf numFmtId="2" fontId="48" fillId="0" borderId="0" xfId="13" applyNumberFormat="1" applyFont="1" applyAlignment="1">
      <alignment vertical="top"/>
    </xf>
    <xf numFmtId="169"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9"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6"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5" xfId="13" applyFont="1" applyBorder="1" applyAlignment="1">
      <alignment vertical="top"/>
    </xf>
    <xf numFmtId="2" fontId="26" fillId="0" borderId="15" xfId="13" applyNumberFormat="1" applyFont="1" applyBorder="1" applyAlignment="1">
      <alignment vertical="top"/>
    </xf>
    <xf numFmtId="2" fontId="26" fillId="0" borderId="15" xfId="0" applyNumberFormat="1" applyFont="1" applyBorder="1" applyAlignment="1">
      <alignment vertical="top"/>
    </xf>
    <xf numFmtId="0" fontId="26" fillId="0" borderId="15" xfId="0" applyNumberFormat="1" applyFont="1" applyBorder="1" applyAlignment="1">
      <alignment horizontal="center" vertical="top"/>
    </xf>
    <xf numFmtId="169" fontId="25" fillId="0" borderId="0" xfId="0" applyFont="1" applyAlignment="1">
      <alignment horizontal="left" vertical="top"/>
    </xf>
    <xf numFmtId="169" fontId="26" fillId="0" borderId="0" xfId="0" applyFont="1" applyAlignment="1">
      <alignment horizontal="center" vertical="top"/>
    </xf>
    <xf numFmtId="169" fontId="25" fillId="0" borderId="0" xfId="0" applyFont="1" applyAlignment="1">
      <alignment horizontal="right" vertical="top"/>
    </xf>
    <xf numFmtId="169" fontId="26" fillId="0" borderId="0" xfId="0" applyFont="1" applyAlignment="1">
      <alignment horizontal="fill" vertical="top"/>
    </xf>
    <xf numFmtId="169"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5" xfId="13" applyFont="1" applyBorder="1" applyAlignment="1">
      <alignment vertical="top"/>
    </xf>
    <xf numFmtId="2" fontId="52" fillId="0" borderId="15"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5" borderId="0" xfId="0" applyNumberFormat="1" applyFont="1" applyFill="1" applyAlignment="1">
      <alignment vertical="top"/>
    </xf>
    <xf numFmtId="0" fontId="26" fillId="5" borderId="0" xfId="0" applyNumberFormat="1" applyFont="1" applyFill="1" applyAlignment="1">
      <alignment vertical="top"/>
    </xf>
    <xf numFmtId="0" fontId="26" fillId="5" borderId="0" xfId="0" applyNumberFormat="1" applyFont="1" applyFill="1" applyAlignment="1">
      <alignment horizontal="center" vertical="top"/>
    </xf>
    <xf numFmtId="0" fontId="52" fillId="5" borderId="0" xfId="13" applyFont="1" applyFill="1" applyAlignment="1">
      <alignment vertical="top"/>
    </xf>
    <xf numFmtId="2" fontId="52" fillId="5"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5"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9" fontId="60" fillId="0" borderId="0" xfId="0" applyFont="1" applyAlignment="1">
      <alignment horizontal="center" vertical="top"/>
    </xf>
    <xf numFmtId="169" fontId="60" fillId="0" borderId="0" xfId="0" applyFont="1"/>
    <xf numFmtId="169" fontId="60" fillId="0" borderId="0" xfId="0" applyFont="1" applyAlignment="1">
      <alignment horizontal="center"/>
    </xf>
    <xf numFmtId="169" fontId="61" fillId="0" borderId="0" xfId="0" applyFont="1" applyAlignment="1">
      <alignment horizontal="center" vertical="center"/>
    </xf>
    <xf numFmtId="169" fontId="62" fillId="0" borderId="0" xfId="0" applyFont="1" applyAlignment="1">
      <alignment horizontal="center"/>
    </xf>
    <xf numFmtId="169" fontId="62" fillId="0" borderId="0" xfId="0" applyFont="1" applyAlignment="1">
      <alignment horizontal="center" vertical="center"/>
    </xf>
    <xf numFmtId="169" fontId="62" fillId="0" borderId="0" xfId="0" applyFont="1" applyAlignment="1">
      <alignment vertical="top"/>
    </xf>
    <xf numFmtId="169" fontId="62" fillId="0" borderId="0" xfId="0" applyFont="1" applyAlignment="1">
      <alignment horizontal="left" vertical="top" wrapText="1"/>
    </xf>
    <xf numFmtId="169" fontId="60" fillId="0" borderId="0" xfId="0" applyFont="1" applyAlignment="1">
      <alignment vertical="top"/>
    </xf>
    <xf numFmtId="169" fontId="60" fillId="0" borderId="0" xfId="0" applyFont="1" applyAlignment="1">
      <alignment horizontal="left" vertical="top" wrapText="1"/>
    </xf>
    <xf numFmtId="169" fontId="60" fillId="0" borderId="0" xfId="0" applyFont="1" applyAlignment="1">
      <alignment horizontal="left" vertical="top"/>
    </xf>
    <xf numFmtId="169" fontId="60" fillId="0" borderId="0" xfId="0" applyFont="1" applyAlignment="1">
      <alignment vertical="top" wrapText="1"/>
    </xf>
    <xf numFmtId="169" fontId="63" fillId="0" borderId="0" xfId="0" applyFont="1" applyAlignment="1">
      <alignment horizontal="left" vertical="top"/>
    </xf>
    <xf numFmtId="169" fontId="64" fillId="0" borderId="0" xfId="0" applyFont="1" applyAlignment="1">
      <alignment horizontal="left" vertical="top"/>
    </xf>
    <xf numFmtId="171" fontId="60" fillId="0" borderId="0" xfId="0" applyNumberFormat="1" applyFont="1" applyAlignment="1">
      <alignment horizontal="left" vertical="top"/>
    </xf>
    <xf numFmtId="169" fontId="65" fillId="0" borderId="0" xfId="0" applyFont="1" applyAlignment="1">
      <alignment horizontal="left" vertical="top"/>
    </xf>
    <xf numFmtId="12" fontId="60" fillId="0" borderId="0" xfId="0" applyNumberFormat="1" applyFont="1" applyAlignment="1">
      <alignment horizontal="left" vertical="top"/>
    </xf>
    <xf numFmtId="169" fontId="60" fillId="0" borderId="0" xfId="0" applyFont="1" applyAlignment="1">
      <alignment wrapText="1"/>
    </xf>
    <xf numFmtId="169" fontId="60" fillId="0" borderId="0" xfId="0" applyFont="1" applyAlignment="1">
      <alignment horizontal="right" vertical="top"/>
    </xf>
    <xf numFmtId="169" fontId="66" fillId="0" borderId="0" xfId="0" applyFont="1" applyAlignment="1">
      <alignment horizontal="left" vertical="top"/>
    </xf>
    <xf numFmtId="169" fontId="62" fillId="0" borderId="0" xfId="0" applyFont="1" applyAlignment="1">
      <alignment horizontal="right" vertical="top"/>
    </xf>
    <xf numFmtId="169" fontId="62" fillId="0" borderId="0" xfId="0" applyFont="1" applyAlignment="1">
      <alignment horizontal="left" vertical="top"/>
    </xf>
    <xf numFmtId="169" fontId="68" fillId="0" borderId="0" xfId="0" applyFont="1" applyAlignment="1">
      <alignment horizontal="left" vertical="top"/>
    </xf>
    <xf numFmtId="169" fontId="62" fillId="0" borderId="0" xfId="0" applyFont="1"/>
    <xf numFmtId="169" fontId="62" fillId="0" borderId="0" xfId="0" applyFont="1" applyAlignment="1">
      <alignment horizontal="left" wrapText="1"/>
    </xf>
    <xf numFmtId="169" fontId="62" fillId="0" borderId="0" xfId="0" applyFont="1" applyAlignment="1">
      <alignment horizontal="left"/>
    </xf>
    <xf numFmtId="169" fontId="64" fillId="0" borderId="0" xfId="0" applyFont="1" applyAlignment="1">
      <alignment horizontal="left" vertical="top" wrapText="1"/>
    </xf>
    <xf numFmtId="174" fontId="60" fillId="0" borderId="0" xfId="0" applyNumberFormat="1" applyFont="1" applyAlignment="1">
      <alignment horizontal="left" vertical="top"/>
    </xf>
    <xf numFmtId="169" fontId="70" fillId="0" borderId="0" xfId="0" applyFont="1" applyAlignment="1">
      <alignment horizontal="left" vertical="top"/>
    </xf>
    <xf numFmtId="169" fontId="68" fillId="0" borderId="0" xfId="0" applyFont="1" applyAlignment="1">
      <alignment horizontal="center" vertical="top"/>
    </xf>
    <xf numFmtId="169" fontId="60" fillId="4" borderId="0" xfId="0" applyFont="1" applyFill="1" applyAlignment="1">
      <alignment horizontal="left" vertical="top"/>
    </xf>
    <xf numFmtId="169" fontId="62" fillId="4" borderId="0" xfId="0" applyFont="1" applyFill="1" applyAlignment="1">
      <alignment horizontal="left" vertical="top"/>
    </xf>
    <xf numFmtId="169" fontId="60" fillId="4" borderId="0" xfId="0" applyFont="1" applyFill="1"/>
    <xf numFmtId="169" fontId="60" fillId="5" borderId="0" xfId="0" applyFont="1" applyFill="1" applyAlignment="1">
      <alignment vertical="top" wrapText="1"/>
    </xf>
    <xf numFmtId="169" fontId="60" fillId="5" borderId="0" xfId="0" applyFont="1" applyFill="1" applyAlignment="1">
      <alignment horizontal="left" vertical="top"/>
    </xf>
    <xf numFmtId="169" fontId="65" fillId="5" borderId="0" xfId="0" applyFont="1" applyFill="1" applyAlignment="1">
      <alignment horizontal="left" vertical="top" wrapText="1"/>
    </xf>
    <xf numFmtId="169" fontId="64" fillId="5" borderId="0" xfId="0" applyFont="1" applyFill="1" applyAlignment="1">
      <alignment horizontal="left" vertical="top"/>
    </xf>
    <xf numFmtId="169" fontId="60" fillId="5" borderId="0" xfId="0" applyFont="1" applyFill="1"/>
    <xf numFmtId="169" fontId="65" fillId="5" borderId="0" xfId="0" applyFont="1" applyFill="1" applyAlignment="1">
      <alignment horizontal="left" vertical="top"/>
    </xf>
    <xf numFmtId="169" fontId="60" fillId="5" borderId="0" xfId="0" applyFont="1" applyFill="1" applyAlignment="1">
      <alignment horizontal="left" vertical="top" wrapText="1"/>
    </xf>
    <xf numFmtId="169" fontId="65" fillId="0" borderId="0" xfId="0" applyFont="1" applyAlignment="1">
      <alignment horizontal="left" vertical="top" wrapText="1"/>
    </xf>
    <xf numFmtId="173" fontId="60" fillId="0" borderId="0" xfId="0" applyNumberFormat="1" applyFont="1" applyAlignment="1">
      <alignment horizontal="left" vertical="top"/>
    </xf>
    <xf numFmtId="169" fontId="71" fillId="0" borderId="0" xfId="0" applyFont="1" applyAlignment="1">
      <alignment horizontal="left" vertical="top"/>
    </xf>
    <xf numFmtId="169" fontId="62" fillId="0" borderId="0" xfId="0" applyFont="1" applyAlignment="1">
      <alignment horizontal="center" vertical="top"/>
    </xf>
    <xf numFmtId="169" fontId="72" fillId="0" borderId="0" xfId="0" applyFont="1" applyAlignment="1">
      <alignment horizontal="left" vertical="top"/>
    </xf>
    <xf numFmtId="169" fontId="60" fillId="0" borderId="0" xfId="0" applyFont="1" applyAlignment="1">
      <alignment horizontal="left"/>
    </xf>
    <xf numFmtId="175" fontId="60" fillId="0" borderId="0" xfId="0" applyNumberFormat="1" applyFont="1" applyAlignment="1">
      <alignment horizontal="left" vertical="top"/>
    </xf>
    <xf numFmtId="169" fontId="63" fillId="5" borderId="0" xfId="0" applyFont="1" applyFill="1" applyAlignment="1">
      <alignment horizontal="left" vertical="top"/>
    </xf>
    <xf numFmtId="169" fontId="62" fillId="5" borderId="0" xfId="0" applyFont="1" applyFill="1" applyAlignment="1">
      <alignment horizontal="left" vertical="top"/>
    </xf>
    <xf numFmtId="169" fontId="73" fillId="0" borderId="0" xfId="0" applyFont="1" applyAlignment="1">
      <alignment horizontal="left" vertical="top"/>
    </xf>
    <xf numFmtId="169" fontId="74" fillId="0" borderId="0" xfId="0" applyFont="1" applyAlignment="1">
      <alignment horizontal="left" vertical="top"/>
    </xf>
    <xf numFmtId="169" fontId="63" fillId="0" borderId="0" xfId="0" applyFont="1" applyAlignment="1">
      <alignment horizontal="right" vertical="top"/>
    </xf>
    <xf numFmtId="169" fontId="75" fillId="0" borderId="0" xfId="0" applyFont="1" applyAlignment="1">
      <alignment horizontal="left" vertical="top"/>
    </xf>
    <xf numFmtId="174" fontId="70" fillId="0" borderId="0" xfId="0" applyNumberFormat="1" applyFont="1" applyAlignment="1">
      <alignment horizontal="left" vertical="top"/>
    </xf>
    <xf numFmtId="169" fontId="64" fillId="0" borderId="0" xfId="0" applyFont="1" applyAlignment="1">
      <alignment horizontal="right" vertical="top"/>
    </xf>
    <xf numFmtId="169" fontId="65" fillId="0" borderId="0" xfId="0" applyFont="1" applyAlignment="1">
      <alignment vertical="top" wrapText="1"/>
    </xf>
    <xf numFmtId="169" fontId="65" fillId="0" borderId="0" xfId="0" applyFont="1" applyAlignment="1">
      <alignment horizontal="right" vertical="top"/>
    </xf>
    <xf numFmtId="169" fontId="76" fillId="0" borderId="0" xfId="0" applyFont="1" applyAlignment="1">
      <alignment horizontal="right" vertical="top"/>
    </xf>
    <xf numFmtId="169" fontId="74" fillId="0" borderId="0" xfId="0" applyFont="1" applyAlignment="1">
      <alignment horizontal="right" vertical="top"/>
    </xf>
    <xf numFmtId="169" fontId="69" fillId="0" borderId="0" xfId="0" applyFont="1" applyAlignment="1">
      <alignment horizontal="center" vertical="center" wrapText="1"/>
    </xf>
    <xf numFmtId="169" fontId="60" fillId="0" borderId="0" xfId="0" applyFont="1" applyAlignment="1">
      <alignment horizontal="right" vertical="center"/>
    </xf>
    <xf numFmtId="169" fontId="60" fillId="0" borderId="0" xfId="0" applyFont="1" applyAlignment="1">
      <alignment horizontal="left" vertical="center"/>
    </xf>
    <xf numFmtId="169" fontId="64" fillId="0" borderId="0" xfId="0" applyFont="1" applyAlignment="1">
      <alignment horizontal="right" vertical="center"/>
    </xf>
    <xf numFmtId="169" fontId="65" fillId="0" borderId="0" xfId="0" applyFont="1"/>
    <xf numFmtId="169" fontId="77" fillId="5" borderId="0" xfId="0" applyFont="1" applyFill="1" applyAlignment="1">
      <alignment horizontal="left" vertical="top"/>
    </xf>
    <xf numFmtId="174" fontId="60" fillId="0" borderId="0" xfId="0" applyNumberFormat="1" applyFont="1"/>
    <xf numFmtId="169" fontId="78" fillId="0" borderId="0" xfId="0" applyFont="1" applyAlignment="1">
      <alignment horizontal="left" vertical="top" wrapText="1"/>
    </xf>
    <xf numFmtId="169" fontId="62" fillId="0" borderId="0" xfId="0" applyFont="1" applyAlignment="1">
      <alignment horizontal="left" vertical="center"/>
    </xf>
    <xf numFmtId="169" fontId="69" fillId="0" borderId="0" xfId="0" applyFont="1" applyAlignment="1">
      <alignment horizontal="left" vertical="top"/>
    </xf>
    <xf numFmtId="169" fontId="77" fillId="0" borderId="0" xfId="0" applyFont="1" applyAlignment="1">
      <alignment horizontal="left" vertical="top"/>
    </xf>
    <xf numFmtId="169"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6" fontId="79" fillId="0" borderId="0" xfId="0" applyNumberFormat="1" applyFont="1" applyAlignment="1">
      <alignment horizontal="right" vertical="top" wrapText="1"/>
    </xf>
    <xf numFmtId="177"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7" fontId="79" fillId="5" borderId="0" xfId="0" applyNumberFormat="1" applyFont="1" applyFill="1" applyAlignment="1">
      <alignment horizontal="right" vertical="top" wrapText="1"/>
    </xf>
    <xf numFmtId="49" fontId="79" fillId="5" borderId="0" xfId="0" applyNumberFormat="1" applyFont="1" applyFill="1" applyAlignment="1">
      <alignment horizontal="left" vertical="top" wrapText="1"/>
    </xf>
    <xf numFmtId="2" fontId="79" fillId="5" borderId="0" xfId="0" applyNumberFormat="1" applyFont="1" applyFill="1" applyAlignment="1">
      <alignment horizontal="right" vertical="top" wrapText="1"/>
    </xf>
    <xf numFmtId="49" fontId="79" fillId="5"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5"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4"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1" fontId="60" fillId="0" borderId="0" xfId="0" applyNumberFormat="1" applyFont="1"/>
    <xf numFmtId="169" fontId="87" fillId="0" borderId="0" xfId="0" applyFont="1"/>
    <xf numFmtId="169" fontId="60" fillId="0" borderId="0" xfId="0" applyFont="1" applyAlignment="1">
      <alignment horizontal="fill"/>
    </xf>
    <xf numFmtId="169" fontId="62" fillId="0" borderId="0" xfId="0" applyFont="1" applyAlignment="1">
      <alignment horizontal="right"/>
    </xf>
    <xf numFmtId="169" fontId="89" fillId="0" borderId="0" xfId="0" applyFont="1"/>
    <xf numFmtId="169" fontId="90" fillId="0" borderId="0" xfId="0" applyFont="1" applyAlignment="1">
      <alignment horizontal="left"/>
    </xf>
    <xf numFmtId="170" fontId="60" fillId="0" borderId="0" xfId="0" applyNumberFormat="1" applyFont="1" applyAlignment="1">
      <alignment horizontal="center"/>
    </xf>
    <xf numFmtId="169" fontId="63" fillId="0" borderId="0" xfId="0" applyFont="1"/>
    <xf numFmtId="169" fontId="60" fillId="5" borderId="0" xfId="0" applyFont="1" applyFill="1" applyAlignment="1">
      <alignment horizontal="left"/>
    </xf>
    <xf numFmtId="169" fontId="73" fillId="0" borderId="0" xfId="0" applyFont="1"/>
    <xf numFmtId="172" fontId="60" fillId="0" borderId="0" xfId="0" applyNumberFormat="1" applyFont="1" applyAlignment="1">
      <alignment horizontal="center"/>
    </xf>
    <xf numFmtId="169" fontId="60" fillId="0" borderId="0" xfId="0" quotePrefix="1" applyFont="1"/>
    <xf numFmtId="171" fontId="60" fillId="0" borderId="0" xfId="0" applyNumberFormat="1" applyFont="1" applyAlignment="1">
      <alignment horizontal="center"/>
    </xf>
    <xf numFmtId="172" fontId="60" fillId="0" borderId="0" xfId="0" applyNumberFormat="1" applyFont="1" applyAlignment="1">
      <alignment horizontal="left"/>
    </xf>
    <xf numFmtId="169" fontId="62" fillId="0" borderId="0" xfId="0" applyFont="1" applyAlignment="1">
      <alignment horizontal="fill"/>
    </xf>
    <xf numFmtId="169" fontId="60" fillId="0" borderId="0" xfId="0" applyFont="1" applyAlignment="1">
      <alignment horizontal="left" wrapText="1"/>
    </xf>
    <xf numFmtId="172" fontId="60" fillId="0" borderId="0" xfId="0" applyNumberFormat="1" applyFont="1" applyAlignment="1">
      <alignment horizontal="center" vertical="top"/>
    </xf>
    <xf numFmtId="173" fontId="60" fillId="0" borderId="0" xfId="0" applyNumberFormat="1" applyFont="1"/>
    <xf numFmtId="169" fontId="60" fillId="4" borderId="0" xfId="0" applyFont="1" applyFill="1" applyAlignment="1">
      <alignment horizontal="left"/>
    </xf>
    <xf numFmtId="169" fontId="60" fillId="0" borderId="0" xfId="0" applyFont="1" applyAlignment="1">
      <alignment horizontal="right"/>
    </xf>
    <xf numFmtId="169" fontId="76" fillId="0" borderId="0" xfId="0" applyFont="1"/>
    <xf numFmtId="169" fontId="62" fillId="0" borderId="0" xfId="0" applyFont="1" applyAlignment="1">
      <alignment wrapText="1"/>
    </xf>
    <xf numFmtId="169" fontId="89" fillId="0" borderId="0" xfId="0" applyFont="1" applyAlignment="1">
      <alignment horizontal="center"/>
    </xf>
    <xf numFmtId="170" fontId="60" fillId="0" borderId="0" xfId="0" applyNumberFormat="1" applyFont="1"/>
    <xf numFmtId="172" fontId="60" fillId="0" borderId="0" xfId="0" applyNumberFormat="1" applyFont="1" applyAlignment="1">
      <alignment horizontal="center" vertical="top" wrapText="1"/>
    </xf>
    <xf numFmtId="169" fontId="60" fillId="0" borderId="0" xfId="0" applyFont="1" applyAlignment="1">
      <alignment horizontal="justify" vertical="top" wrapText="1"/>
    </xf>
    <xf numFmtId="173" fontId="60" fillId="0" borderId="0" xfId="0" applyNumberFormat="1" applyFont="1" applyAlignment="1">
      <alignment horizontal="left"/>
    </xf>
    <xf numFmtId="175" fontId="60" fillId="0" borderId="0" xfId="0" applyNumberFormat="1" applyFont="1"/>
    <xf numFmtId="173" fontId="60" fillId="0" borderId="0" xfId="0" applyNumberFormat="1" applyFont="1" applyAlignment="1">
      <alignment horizontal="fill"/>
    </xf>
    <xf numFmtId="169" fontId="69" fillId="0" borderId="0" xfId="0" applyFont="1"/>
    <xf numFmtId="169" fontId="63" fillId="0" borderId="0" xfId="0" applyFont="1" applyAlignment="1">
      <alignment horizontal="right"/>
    </xf>
    <xf numFmtId="169" fontId="60" fillId="0" borderId="3" xfId="0" applyFont="1" applyBorder="1"/>
    <xf numFmtId="172" fontId="60" fillId="0" borderId="0" xfId="0" applyNumberFormat="1" applyFont="1"/>
    <xf numFmtId="169" fontId="60" fillId="0" borderId="0" xfId="0" applyFont="1" applyAlignment="1">
      <alignment vertical="center"/>
    </xf>
    <xf numFmtId="169" fontId="99" fillId="0" borderId="0" xfId="0" applyFont="1"/>
    <xf numFmtId="169" fontId="60" fillId="0" borderId="0" xfId="0" quotePrefix="1" applyFont="1" applyAlignment="1">
      <alignment horizontal="fill"/>
    </xf>
    <xf numFmtId="173" fontId="60" fillId="0" borderId="0" xfId="0" applyNumberFormat="1" applyFont="1" applyAlignment="1">
      <alignment horizontal="center"/>
    </xf>
    <xf numFmtId="169" fontId="68" fillId="0" borderId="0" xfId="0" applyFont="1"/>
    <xf numFmtId="169" fontId="98" fillId="0" borderId="0" xfId="0" applyFont="1" applyAlignment="1">
      <alignment horizontal="right"/>
    </xf>
    <xf numFmtId="174" fontId="60" fillId="0" borderId="0" xfId="0" applyNumberFormat="1" applyFont="1" applyAlignment="1">
      <alignment horizontal="center"/>
    </xf>
    <xf numFmtId="169" fontId="103" fillId="4" borderId="0" xfId="0" applyFont="1" applyFill="1" applyAlignment="1">
      <alignment vertical="top"/>
    </xf>
    <xf numFmtId="169" fontId="101" fillId="4" borderId="1" xfId="0" applyFont="1" applyFill="1" applyBorder="1" applyAlignment="1">
      <alignment horizontal="center" vertical="top" wrapText="1"/>
    </xf>
    <xf numFmtId="169" fontId="103" fillId="4" borderId="0" xfId="0" applyFont="1" applyFill="1" applyAlignment="1">
      <alignment horizontal="center" vertical="top"/>
    </xf>
    <xf numFmtId="176" fontId="103" fillId="4" borderId="1" xfId="40" applyNumberFormat="1" applyFont="1" applyFill="1" applyBorder="1" applyAlignment="1">
      <alignment vertical="top" wrapText="1"/>
    </xf>
    <xf numFmtId="2" fontId="103" fillId="4" borderId="1" xfId="40" applyNumberFormat="1" applyFont="1" applyFill="1" applyBorder="1" applyAlignment="1">
      <alignment vertical="top" wrapText="1"/>
    </xf>
    <xf numFmtId="9" fontId="103" fillId="4" borderId="1" xfId="44" applyFont="1" applyFill="1" applyBorder="1" applyAlignment="1">
      <alignment horizontal="right" vertical="top" wrapText="1"/>
    </xf>
    <xf numFmtId="2" fontId="103" fillId="4" borderId="1" xfId="40" applyNumberFormat="1" applyFont="1" applyFill="1" applyBorder="1" applyAlignment="1">
      <alignment horizontal="center" vertical="top" wrapText="1"/>
    </xf>
    <xf numFmtId="169" fontId="105" fillId="4" borderId="1" xfId="0" applyFont="1" applyFill="1" applyBorder="1" applyAlignment="1">
      <alignment horizontal="right" vertical="top" wrapText="1"/>
    </xf>
    <xf numFmtId="169" fontId="103" fillId="4" borderId="1" xfId="0" applyFont="1" applyFill="1" applyBorder="1" applyAlignment="1">
      <alignment horizontal="right" vertical="top" wrapText="1"/>
    </xf>
    <xf numFmtId="169" fontId="105" fillId="0" borderId="1" xfId="0" applyFont="1" applyBorder="1" applyAlignment="1">
      <alignment vertical="center" wrapText="1"/>
    </xf>
    <xf numFmtId="176" fontId="103" fillId="0" borderId="1" xfId="40" applyNumberFormat="1" applyFont="1" applyBorder="1" applyAlignment="1">
      <alignment vertical="top" wrapText="1"/>
    </xf>
    <xf numFmtId="2" fontId="103" fillId="0" borderId="1" xfId="40" applyNumberFormat="1" applyFont="1" applyBorder="1" applyAlignment="1">
      <alignment vertical="top" wrapText="1"/>
    </xf>
    <xf numFmtId="169" fontId="103" fillId="0" borderId="1" xfId="0" applyFont="1" applyBorder="1" applyAlignment="1">
      <alignment horizontal="right" vertical="top" wrapText="1"/>
    </xf>
    <xf numFmtId="2" fontId="103" fillId="0" borderId="1" xfId="40" applyNumberFormat="1" applyFont="1" applyBorder="1" applyAlignment="1">
      <alignment horizontal="center" vertical="top" wrapText="1"/>
    </xf>
    <xf numFmtId="169" fontId="103" fillId="0" borderId="0" xfId="0" applyFont="1" applyAlignment="1">
      <alignment vertical="top"/>
    </xf>
    <xf numFmtId="169" fontId="103" fillId="4" borderId="1" xfId="0" applyFont="1" applyFill="1" applyBorder="1" applyAlignment="1">
      <alignment vertical="top" wrapText="1"/>
    </xf>
    <xf numFmtId="169" fontId="103" fillId="0" borderId="1" xfId="0" applyFont="1" applyBorder="1" applyAlignment="1">
      <alignment vertical="top" wrapText="1"/>
    </xf>
    <xf numFmtId="169" fontId="103" fillId="4" borderId="2" xfId="0" applyFont="1" applyFill="1" applyBorder="1" applyAlignment="1">
      <alignment vertical="top"/>
    </xf>
    <xf numFmtId="2" fontId="101" fillId="4" borderId="1" xfId="40" applyNumberFormat="1" applyFont="1" applyFill="1" applyBorder="1" applyAlignment="1">
      <alignment vertical="top" wrapText="1"/>
    </xf>
    <xf numFmtId="2" fontId="101" fillId="0" borderId="1" xfId="40" applyNumberFormat="1" applyFont="1" applyBorder="1" applyAlignment="1">
      <alignment vertical="top" wrapText="1"/>
    </xf>
    <xf numFmtId="176" fontId="103" fillId="4" borderId="1" xfId="0" applyNumberFormat="1" applyFont="1" applyFill="1" applyBorder="1" applyAlignment="1">
      <alignment vertical="top" wrapText="1"/>
    </xf>
    <xf numFmtId="176" fontId="103" fillId="4" borderId="1" xfId="0" applyNumberFormat="1" applyFont="1" applyFill="1" applyBorder="1" applyAlignment="1">
      <alignment vertical="top"/>
    </xf>
    <xf numFmtId="176" fontId="103" fillId="0" borderId="1" xfId="0" applyNumberFormat="1" applyFont="1" applyBorder="1" applyAlignment="1">
      <alignment vertical="top" wrapText="1"/>
    </xf>
    <xf numFmtId="169" fontId="103" fillId="4" borderId="1" xfId="0" applyFont="1" applyFill="1" applyBorder="1" applyAlignment="1">
      <alignment vertical="top"/>
    </xf>
    <xf numFmtId="172" fontId="103" fillId="0" borderId="1" xfId="40" applyNumberFormat="1" applyFont="1" applyBorder="1" applyAlignment="1">
      <alignment vertical="top" wrapText="1"/>
    </xf>
    <xf numFmtId="172" fontId="103" fillId="4" borderId="1" xfId="0" applyNumberFormat="1" applyFont="1" applyFill="1" applyBorder="1" applyAlignment="1">
      <alignment vertical="top"/>
    </xf>
    <xf numFmtId="172" fontId="103" fillId="4" borderId="1" xfId="40" applyNumberFormat="1" applyFont="1" applyFill="1" applyBorder="1" applyAlignment="1">
      <alignment vertical="top" wrapText="1"/>
    </xf>
    <xf numFmtId="2" fontId="101" fillId="4" borderId="1" xfId="40" applyNumberFormat="1" applyFont="1" applyFill="1" applyBorder="1" applyAlignment="1">
      <alignment horizontal="center" vertical="top" wrapText="1"/>
    </xf>
    <xf numFmtId="169" fontId="103" fillId="0" borderId="2" xfId="0" applyFont="1" applyBorder="1" applyAlignment="1">
      <alignment vertical="top"/>
    </xf>
    <xf numFmtId="176" fontId="105" fillId="4" borderId="1" xfId="40" applyNumberFormat="1" applyFont="1" applyFill="1" applyBorder="1" applyAlignment="1">
      <alignment vertical="top" wrapText="1"/>
    </xf>
    <xf numFmtId="2" fontId="105" fillId="4" borderId="1" xfId="40" applyNumberFormat="1" applyFont="1" applyFill="1" applyBorder="1" applyAlignment="1">
      <alignment vertical="top" wrapText="1"/>
    </xf>
    <xf numFmtId="2" fontId="105" fillId="4" borderId="1" xfId="40" applyNumberFormat="1" applyFont="1" applyFill="1" applyBorder="1" applyAlignment="1">
      <alignment horizontal="center" vertical="top" wrapText="1"/>
    </xf>
    <xf numFmtId="169" fontId="106" fillId="4" borderId="2" xfId="0" applyFont="1" applyFill="1" applyBorder="1" applyAlignment="1">
      <alignment vertical="top"/>
    </xf>
    <xf numFmtId="169" fontId="105" fillId="4" borderId="1" xfId="0" applyFont="1" applyFill="1" applyBorder="1" applyAlignment="1">
      <alignment vertical="top" wrapText="1"/>
    </xf>
    <xf numFmtId="2" fontId="105" fillId="4" borderId="1" xfId="40" applyNumberFormat="1" applyFont="1" applyFill="1" applyBorder="1" applyAlignment="1">
      <alignment horizontal="right" vertical="top" wrapText="1"/>
    </xf>
    <xf numFmtId="2" fontId="104" fillId="4" borderId="1" xfId="40" applyNumberFormat="1" applyFont="1" applyFill="1" applyBorder="1" applyAlignment="1">
      <alignment vertical="top" wrapText="1"/>
    </xf>
    <xf numFmtId="2" fontId="103" fillId="4" borderId="1" xfId="40" applyNumberFormat="1" applyFont="1" applyFill="1" applyBorder="1" applyAlignment="1">
      <alignment horizontal="right" vertical="top" wrapText="1"/>
    </xf>
    <xf numFmtId="2" fontId="105" fillId="0" borderId="1" xfId="40" applyNumberFormat="1" applyFont="1" applyBorder="1" applyAlignment="1">
      <alignment vertical="top" wrapText="1"/>
    </xf>
    <xf numFmtId="169" fontId="105" fillId="0" borderId="1" xfId="0" applyFont="1" applyBorder="1" applyAlignment="1">
      <alignment horizontal="right" vertical="top" wrapText="1"/>
    </xf>
    <xf numFmtId="1" fontId="103" fillId="4" borderId="1" xfId="40" applyNumberFormat="1" applyFont="1" applyFill="1" applyBorder="1" applyAlignment="1">
      <alignment vertical="top" wrapText="1"/>
    </xf>
    <xf numFmtId="176" fontId="103" fillId="4" borderId="1" xfId="40" applyNumberFormat="1" applyFont="1" applyFill="1" applyBorder="1" applyAlignment="1">
      <alignment horizontal="right" vertical="top" wrapText="1"/>
    </xf>
    <xf numFmtId="169" fontId="106" fillId="4" borderId="1" xfId="0" applyFont="1" applyFill="1" applyBorder="1" applyAlignment="1">
      <alignment horizontal="right" vertical="top" wrapText="1"/>
    </xf>
    <xf numFmtId="169" fontId="101" fillId="4" borderId="1" xfId="0" applyFont="1" applyFill="1" applyBorder="1" applyAlignment="1">
      <alignment horizontal="left" vertical="top" wrapText="1"/>
    </xf>
    <xf numFmtId="2" fontId="103" fillId="0" borderId="1" xfId="40" applyNumberFormat="1" applyFont="1" applyBorder="1" applyAlignment="1">
      <alignment horizontal="right" vertical="top" wrapText="1"/>
    </xf>
    <xf numFmtId="2" fontId="103" fillId="4" borderId="1" xfId="41" applyNumberFormat="1" applyFont="1" applyFill="1" applyBorder="1" applyAlignment="1">
      <alignment vertical="top" wrapText="1"/>
    </xf>
    <xf numFmtId="180" fontId="103" fillId="0" borderId="1" xfId="40" applyNumberFormat="1" applyFont="1" applyBorder="1" applyAlignment="1">
      <alignment vertical="top" wrapText="1"/>
    </xf>
    <xf numFmtId="176" fontId="103" fillId="0" borderId="1" xfId="0" applyNumberFormat="1" applyFont="1" applyBorder="1" applyAlignment="1">
      <alignment vertical="top"/>
    </xf>
    <xf numFmtId="176" fontId="103" fillId="0" borderId="1" xfId="40" applyNumberFormat="1" applyFont="1" applyBorder="1" applyAlignment="1">
      <alignment horizontal="right" vertical="top" wrapText="1"/>
    </xf>
    <xf numFmtId="169" fontId="101" fillId="4" borderId="1" xfId="0" applyFont="1" applyFill="1" applyBorder="1" applyAlignment="1">
      <alignment horizontal="left" vertical="top"/>
    </xf>
    <xf numFmtId="0" fontId="101" fillId="4" borderId="1" xfId="0" applyNumberFormat="1" applyFont="1" applyFill="1" applyBorder="1" applyAlignment="1">
      <alignment horizontal="left" vertical="top" wrapText="1"/>
    </xf>
    <xf numFmtId="169" fontId="103" fillId="4" borderId="1" xfId="0" applyFont="1" applyFill="1" applyBorder="1" applyAlignment="1">
      <alignment horizontal="left" vertical="top"/>
    </xf>
    <xf numFmtId="169" fontId="107" fillId="4" borderId="1" xfId="0" applyFont="1" applyFill="1" applyBorder="1" applyAlignment="1">
      <alignment horizontal="center" vertical="top" wrapText="1"/>
    </xf>
    <xf numFmtId="169" fontId="106" fillId="4" borderId="0" xfId="0" applyFont="1" applyFill="1" applyAlignment="1">
      <alignment vertical="top"/>
    </xf>
    <xf numFmtId="169" fontId="101" fillId="0" borderId="1" xfId="0" applyFont="1" applyBorder="1" applyAlignment="1">
      <alignment horizontal="center" vertical="top" wrapText="1"/>
    </xf>
    <xf numFmtId="169" fontId="101" fillId="4" borderId="1" xfId="0" applyFont="1" applyFill="1" applyBorder="1" applyAlignment="1">
      <alignment horizontal="center" vertical="top"/>
    </xf>
    <xf numFmtId="2" fontId="103" fillId="4" borderId="1" xfId="40" applyNumberFormat="1" applyFont="1" applyFill="1" applyBorder="1" applyAlignment="1">
      <alignment horizontal="center" wrapText="1"/>
    </xf>
    <xf numFmtId="2" fontId="103" fillId="4" borderId="1" xfId="41" applyNumberFormat="1" applyFont="1" applyFill="1" applyBorder="1" applyAlignment="1">
      <alignment horizontal="left" vertical="center" wrapText="1"/>
    </xf>
    <xf numFmtId="2" fontId="103" fillId="4" borderId="1" xfId="44" applyNumberFormat="1" applyFont="1" applyFill="1" applyBorder="1" applyAlignment="1">
      <alignment horizontal="right" vertical="top" wrapText="1"/>
    </xf>
    <xf numFmtId="0" fontId="103" fillId="4" borderId="1" xfId="0" applyNumberFormat="1" applyFont="1" applyFill="1" applyBorder="1" applyAlignment="1">
      <alignment horizontal="center" vertical="top" wrapText="1"/>
    </xf>
    <xf numFmtId="2" fontId="103" fillId="4" borderId="1" xfId="41" applyNumberFormat="1" applyFont="1" applyFill="1" applyBorder="1" applyAlignment="1">
      <alignment horizontal="center" vertical="top" wrapText="1"/>
    </xf>
    <xf numFmtId="2" fontId="103" fillId="4" borderId="1" xfId="41" applyNumberFormat="1" applyFont="1" applyFill="1" applyBorder="1" applyAlignment="1">
      <alignment horizontal="right" vertical="center" wrapText="1"/>
    </xf>
    <xf numFmtId="2" fontId="103" fillId="4" borderId="1" xfId="41" applyNumberFormat="1" applyFont="1" applyFill="1" applyBorder="1" applyAlignment="1">
      <alignment horizontal="center" wrapText="1"/>
    </xf>
    <xf numFmtId="169" fontId="105" fillId="5" borderId="1" xfId="0" applyFont="1" applyFill="1" applyBorder="1" applyAlignment="1">
      <alignment vertical="top" wrapText="1"/>
    </xf>
    <xf numFmtId="2" fontId="105" fillId="0" borderId="1" xfId="40" applyNumberFormat="1" applyFont="1" applyBorder="1" applyAlignment="1">
      <alignment horizontal="center" vertical="top" wrapText="1"/>
    </xf>
    <xf numFmtId="176" fontId="103" fillId="8" borderId="1" xfId="40" applyNumberFormat="1" applyFont="1" applyFill="1" applyBorder="1" applyAlignment="1">
      <alignment vertical="top" wrapText="1"/>
    </xf>
    <xf numFmtId="2" fontId="103" fillId="8" borderId="1" xfId="40" applyNumberFormat="1" applyFont="1" applyFill="1" applyBorder="1" applyAlignment="1">
      <alignment vertical="top" wrapText="1"/>
    </xf>
    <xf numFmtId="169" fontId="103" fillId="8" borderId="1" xfId="0" applyFont="1" applyFill="1" applyBorder="1" applyAlignment="1">
      <alignment vertical="top" wrapText="1"/>
    </xf>
    <xf numFmtId="2" fontId="103" fillId="8" borderId="1" xfId="40" applyNumberFormat="1" applyFont="1" applyFill="1" applyBorder="1" applyAlignment="1">
      <alignment horizontal="center" vertical="top" wrapText="1"/>
    </xf>
    <xf numFmtId="169" fontId="103" fillId="8" borderId="0" xfId="0" applyFont="1" applyFill="1" applyAlignment="1">
      <alignment vertical="top"/>
    </xf>
    <xf numFmtId="176" fontId="103" fillId="8" borderId="1" xfId="40" applyNumberFormat="1" applyFont="1" applyFill="1" applyBorder="1" applyAlignment="1">
      <alignment horizontal="right" vertical="top" wrapText="1"/>
    </xf>
    <xf numFmtId="169" fontId="103" fillId="8" borderId="1" xfId="0" applyFont="1" applyFill="1" applyBorder="1" applyAlignment="1">
      <alignment vertical="top"/>
    </xf>
    <xf numFmtId="169" fontId="106" fillId="0" borderId="1" xfId="0" applyFont="1" applyBorder="1" applyAlignment="1">
      <alignment horizontal="right" vertical="top" wrapText="1"/>
    </xf>
    <xf numFmtId="169" fontId="105" fillId="0" borderId="1" xfId="0" applyFont="1" applyBorder="1" applyAlignment="1">
      <alignment vertical="top" wrapText="1"/>
    </xf>
    <xf numFmtId="169" fontId="103" fillId="4" borderId="1" xfId="0" applyFont="1" applyFill="1" applyBorder="1" applyAlignment="1">
      <alignment horizontal="center" vertical="top" wrapText="1"/>
    </xf>
    <xf numFmtId="2" fontId="103" fillId="5" borderId="1" xfId="40" applyNumberFormat="1" applyFont="1" applyFill="1" applyBorder="1" applyAlignment="1">
      <alignment vertical="top" wrapText="1"/>
    </xf>
    <xf numFmtId="2" fontId="103" fillId="0" borderId="1" xfId="41" applyNumberFormat="1" applyFont="1" applyBorder="1" applyAlignment="1">
      <alignment vertical="top" wrapText="1"/>
    </xf>
    <xf numFmtId="1" fontId="103" fillId="0" borderId="1" xfId="40" applyNumberFormat="1" applyFont="1" applyBorder="1" applyAlignment="1">
      <alignment horizontal="right" vertical="top" wrapText="1"/>
    </xf>
    <xf numFmtId="2" fontId="103" fillId="4" borderId="1" xfId="0" applyNumberFormat="1" applyFont="1" applyFill="1" applyBorder="1" applyAlignment="1">
      <alignment horizontal="center" vertical="top" wrapText="1"/>
    </xf>
    <xf numFmtId="2" fontId="103" fillId="0" borderId="1" xfId="0" applyNumberFormat="1" applyFont="1" applyBorder="1" applyAlignment="1">
      <alignment horizontal="center" vertical="top" wrapText="1"/>
    </xf>
    <xf numFmtId="169" fontId="103" fillId="0" borderId="1" xfId="0" applyFont="1" applyBorder="1" applyAlignment="1">
      <alignment horizontal="center" vertical="top" wrapText="1"/>
    </xf>
    <xf numFmtId="169" fontId="103" fillId="4" borderId="1" xfId="0" applyFont="1" applyFill="1" applyBorder="1" applyAlignment="1">
      <alignment horizontal="right" vertical="center" wrapText="1"/>
    </xf>
    <xf numFmtId="169" fontId="103" fillId="4" borderId="1" xfId="0" applyFont="1" applyFill="1" applyBorder="1" applyAlignment="1">
      <alignment horizontal="center" wrapText="1"/>
    </xf>
    <xf numFmtId="1" fontId="103" fillId="4" borderId="1" xfId="40" applyNumberFormat="1" applyFont="1" applyFill="1" applyBorder="1" applyAlignment="1">
      <alignment horizontal="center" vertical="top" wrapText="1"/>
    </xf>
    <xf numFmtId="0" fontId="103" fillId="4" borderId="1" xfId="0" applyNumberFormat="1" applyFont="1" applyFill="1" applyBorder="1" applyAlignment="1">
      <alignment horizontal="left" vertical="top" wrapText="1"/>
    </xf>
    <xf numFmtId="2" fontId="101" fillId="8" borderId="1" xfId="40" applyNumberFormat="1" applyFont="1" applyFill="1" applyBorder="1" applyAlignment="1">
      <alignment vertical="top" wrapText="1"/>
    </xf>
    <xf numFmtId="169" fontId="103" fillId="8" borderId="1" xfId="0" applyFont="1" applyFill="1" applyBorder="1" applyAlignment="1">
      <alignment horizontal="right" wrapText="1"/>
    </xf>
    <xf numFmtId="169" fontId="103" fillId="8" borderId="1" xfId="0" applyFont="1" applyFill="1" applyBorder="1" applyAlignment="1">
      <alignment horizontal="center" wrapText="1"/>
    </xf>
    <xf numFmtId="1" fontId="103" fillId="0" borderId="1" xfId="40" applyNumberFormat="1" applyFont="1" applyBorder="1" applyAlignment="1">
      <alignment vertical="top" wrapText="1"/>
    </xf>
    <xf numFmtId="1" fontId="103" fillId="0" borderId="1" xfId="40" applyNumberFormat="1" applyFont="1" applyBorder="1" applyAlignment="1">
      <alignment horizontal="center" vertical="top" wrapText="1"/>
    </xf>
    <xf numFmtId="169" fontId="106" fillId="0" borderId="1" xfId="0" applyFont="1" applyBorder="1" applyAlignment="1">
      <alignment vertical="top" wrapText="1"/>
    </xf>
    <xf numFmtId="169" fontId="96" fillId="0" borderId="1" xfId="0" applyFont="1" applyBorder="1" applyAlignment="1">
      <alignment vertical="top" wrapText="1"/>
    </xf>
    <xf numFmtId="169" fontId="96" fillId="0" borderId="1" xfId="0" applyFont="1" applyBorder="1" applyAlignment="1">
      <alignment horizontal="center" vertical="top"/>
    </xf>
    <xf numFmtId="0" fontId="96" fillId="0" borderId="1" xfId="38" applyFont="1" applyBorder="1" applyAlignment="1">
      <alignment horizontal="center" vertical="top" wrapText="1"/>
    </xf>
    <xf numFmtId="169" fontId="108" fillId="0" borderId="1" xfId="0" applyFont="1" applyBorder="1" applyAlignment="1">
      <alignment vertical="top" wrapText="1"/>
    </xf>
    <xf numFmtId="2" fontId="101" fillId="5" borderId="1" xfId="41" applyNumberFormat="1" applyFont="1" applyFill="1" applyBorder="1" applyAlignment="1">
      <alignment horizontal="left" vertical="center" wrapText="1"/>
    </xf>
    <xf numFmtId="169" fontId="103" fillId="5" borderId="1" xfId="0" applyFont="1" applyFill="1" applyBorder="1" applyAlignment="1">
      <alignment horizontal="right" vertical="top" wrapText="1"/>
    </xf>
    <xf numFmtId="169" fontId="103" fillId="5" borderId="1" xfId="0" applyFont="1" applyFill="1" applyBorder="1" applyAlignment="1">
      <alignment horizontal="center" vertical="top" wrapText="1"/>
    </xf>
    <xf numFmtId="2" fontId="103" fillId="5" borderId="1" xfId="41" applyNumberFormat="1" applyFont="1" applyFill="1" applyBorder="1" applyAlignment="1">
      <alignment horizontal="left" vertical="center" wrapText="1"/>
    </xf>
    <xf numFmtId="2" fontId="103" fillId="9" borderId="1" xfId="41" applyNumberFormat="1" applyFont="1" applyFill="1" applyBorder="1" applyAlignment="1">
      <alignment vertical="top" wrapText="1"/>
    </xf>
    <xf numFmtId="2" fontId="103" fillId="5" borderId="1" xfId="44" applyNumberFormat="1" applyFont="1" applyFill="1" applyBorder="1" applyAlignment="1">
      <alignment horizontal="right" vertical="top" wrapText="1"/>
    </xf>
    <xf numFmtId="169" fontId="103" fillId="4" borderId="1" xfId="14" applyNumberFormat="1" applyFont="1" applyFill="1" applyBorder="1" applyAlignment="1">
      <alignment horizontal="center" vertical="top" wrapText="1"/>
    </xf>
    <xf numFmtId="2" fontId="101" fillId="5" borderId="1" xfId="41" applyNumberFormat="1" applyFont="1" applyFill="1" applyBorder="1" applyAlignment="1">
      <alignment vertical="top" wrapText="1"/>
    </xf>
    <xf numFmtId="169" fontId="101" fillId="5" borderId="1" xfId="0" applyFont="1" applyFill="1" applyBorder="1" applyAlignment="1">
      <alignment vertical="top"/>
    </xf>
    <xf numFmtId="2" fontId="101" fillId="5" borderId="1" xfId="40" applyNumberFormat="1" applyFont="1" applyFill="1" applyBorder="1" applyAlignment="1">
      <alignment vertical="top" wrapText="1"/>
    </xf>
    <xf numFmtId="0" fontId="103" fillId="4" borderId="1" xfId="14" applyFont="1" applyFill="1" applyBorder="1" applyAlignment="1">
      <alignment horizontal="left" vertical="center" wrapText="1"/>
    </xf>
    <xf numFmtId="2" fontId="106" fillId="4" borderId="1" xfId="44" applyNumberFormat="1" applyFont="1" applyFill="1" applyBorder="1" applyAlignment="1">
      <alignment horizontal="right" vertical="top" wrapText="1"/>
    </xf>
    <xf numFmtId="0" fontId="103" fillId="4" borderId="1" xfId="14" applyFont="1" applyFill="1" applyBorder="1" applyAlignment="1">
      <alignment horizontal="center" vertical="top" wrapText="1"/>
    </xf>
    <xf numFmtId="176" fontId="101" fillId="4" borderId="1" xfId="40" applyNumberFormat="1" applyFont="1" applyFill="1" applyBorder="1" applyAlignment="1">
      <alignment vertical="top" wrapText="1"/>
    </xf>
    <xf numFmtId="2" fontId="101" fillId="4" borderId="1" xfId="41" applyNumberFormat="1" applyFont="1" applyFill="1" applyBorder="1" applyAlignment="1">
      <alignment horizontal="left" vertical="center" wrapText="1"/>
    </xf>
    <xf numFmtId="2" fontId="101" fillId="4" borderId="1" xfId="44" applyNumberFormat="1" applyFont="1" applyFill="1" applyBorder="1" applyAlignment="1">
      <alignment horizontal="right" vertical="top" wrapText="1"/>
    </xf>
    <xf numFmtId="2" fontId="101" fillId="4" borderId="1" xfId="41" applyNumberFormat="1" applyFont="1" applyFill="1" applyBorder="1" applyAlignment="1">
      <alignment horizontal="center" vertical="top" wrapText="1"/>
    </xf>
    <xf numFmtId="169" fontId="101" fillId="4" borderId="0" xfId="0" applyFont="1" applyFill="1" applyAlignment="1">
      <alignment vertical="top"/>
    </xf>
    <xf numFmtId="2" fontId="101" fillId="4" borderId="1" xfId="41" applyNumberFormat="1" applyFont="1" applyFill="1" applyBorder="1" applyAlignment="1">
      <alignment vertical="top" wrapText="1"/>
    </xf>
    <xf numFmtId="169" fontId="103" fillId="4" borderId="1" xfId="0" applyFont="1" applyFill="1" applyBorder="1" applyAlignment="1">
      <alignment horizontal="center" vertical="top"/>
    </xf>
    <xf numFmtId="2" fontId="96" fillId="4" borderId="1" xfId="41" applyNumberFormat="1" applyFont="1" applyFill="1" applyBorder="1" applyAlignment="1">
      <alignment vertical="top" wrapText="1"/>
    </xf>
    <xf numFmtId="169" fontId="96" fillId="4" borderId="1" xfId="0" applyFont="1" applyFill="1" applyBorder="1" applyAlignment="1">
      <alignment vertical="top"/>
    </xf>
    <xf numFmtId="169" fontId="96" fillId="4" borderId="1" xfId="0" applyFont="1" applyFill="1" applyBorder="1" applyAlignment="1">
      <alignment horizontal="center" vertical="top"/>
    </xf>
    <xf numFmtId="2" fontId="105" fillId="4" borderId="1" xfId="40" applyNumberFormat="1" applyFont="1" applyFill="1" applyBorder="1" applyAlignment="1">
      <alignment horizontal="left" vertical="center" wrapText="1"/>
    </xf>
    <xf numFmtId="2" fontId="105" fillId="4" borderId="1" xfId="44" applyNumberFormat="1" applyFont="1" applyFill="1" applyBorder="1" applyAlignment="1">
      <alignment horizontal="right" vertical="top" wrapText="1"/>
    </xf>
    <xf numFmtId="2" fontId="105" fillId="4" borderId="1" xfId="41" applyNumberFormat="1" applyFont="1" applyFill="1" applyBorder="1" applyAlignment="1">
      <alignment horizontal="center" vertical="top" wrapText="1"/>
    </xf>
    <xf numFmtId="2" fontId="105" fillId="4" borderId="1" xfId="40" applyNumberFormat="1" applyFont="1" applyFill="1" applyBorder="1" applyAlignment="1">
      <alignment horizontal="left" vertical="top" wrapText="1"/>
    </xf>
    <xf numFmtId="2" fontId="105" fillId="5" borderId="1" xfId="44" applyNumberFormat="1" applyFont="1" applyFill="1" applyBorder="1" applyAlignment="1">
      <alignment horizontal="right" vertical="top" wrapText="1"/>
    </xf>
    <xf numFmtId="2" fontId="101" fillId="0" borderId="1" xfId="41" applyNumberFormat="1" applyFont="1" applyBorder="1" applyAlignment="1">
      <alignment vertical="top" wrapText="1"/>
    </xf>
    <xf numFmtId="2" fontId="103" fillId="5" borderId="1" xfId="41" applyNumberFormat="1" applyFont="1" applyFill="1" applyBorder="1" applyAlignment="1">
      <alignment vertical="top" wrapText="1"/>
    </xf>
    <xf numFmtId="2" fontId="103" fillId="4" borderId="1" xfId="41" applyNumberFormat="1" applyFont="1" applyFill="1" applyBorder="1" applyAlignment="1">
      <alignment horizontal="right" vertical="top" wrapText="1"/>
    </xf>
    <xf numFmtId="2" fontId="103" fillId="4" borderId="1" xfId="41" applyNumberFormat="1" applyFont="1" applyFill="1" applyBorder="1" applyAlignment="1">
      <alignment horizontal="right" wrapText="1"/>
    </xf>
    <xf numFmtId="2" fontId="103" fillId="0" borderId="1" xfId="44" applyNumberFormat="1" applyFont="1" applyFill="1" applyBorder="1" applyAlignment="1">
      <alignment horizontal="right" vertical="top" wrapText="1"/>
    </xf>
    <xf numFmtId="2" fontId="103" fillId="0" borderId="1" xfId="40" applyNumberFormat="1" applyFont="1" applyBorder="1" applyAlignment="1">
      <alignment horizontal="center" vertical="center" wrapText="1"/>
    </xf>
    <xf numFmtId="2" fontId="105" fillId="0" borderId="1" xfId="44" applyNumberFormat="1" applyFont="1" applyFill="1" applyBorder="1" applyAlignment="1">
      <alignment horizontal="right" vertical="top" wrapText="1"/>
    </xf>
    <xf numFmtId="2" fontId="109" fillId="4" borderId="1" xfId="40" applyNumberFormat="1" applyFont="1" applyFill="1" applyBorder="1" applyAlignment="1">
      <alignment vertical="top" wrapText="1"/>
    </xf>
    <xf numFmtId="2" fontId="101" fillId="4" borderId="1" xfId="40" applyNumberFormat="1" applyFont="1" applyFill="1" applyBorder="1" applyAlignment="1">
      <alignment vertical="center" wrapText="1"/>
    </xf>
    <xf numFmtId="2" fontId="109" fillId="4" borderId="1" xfId="40" applyNumberFormat="1" applyFont="1" applyFill="1" applyBorder="1" applyAlignment="1">
      <alignment vertical="center" wrapText="1"/>
    </xf>
    <xf numFmtId="2" fontId="103" fillId="4" borderId="1" xfId="40" applyNumberFormat="1" applyFont="1" applyFill="1" applyBorder="1" applyAlignment="1">
      <alignment vertical="center" wrapText="1"/>
    </xf>
    <xf numFmtId="169" fontId="109" fillId="4" borderId="1" xfId="0" applyFont="1" applyFill="1" applyBorder="1" applyAlignment="1">
      <alignment vertical="top"/>
    </xf>
    <xf numFmtId="2" fontId="106" fillId="4" borderId="1" xfId="40" applyNumberFormat="1" applyFont="1" applyFill="1" applyBorder="1" applyAlignment="1">
      <alignment vertical="top" wrapText="1"/>
    </xf>
    <xf numFmtId="2" fontId="103" fillId="4" borderId="1" xfId="40" applyNumberFormat="1" applyFont="1" applyFill="1" applyBorder="1" applyAlignment="1">
      <alignment horizontal="center" vertical="center" wrapText="1"/>
    </xf>
    <xf numFmtId="2" fontId="103" fillId="0" borderId="1" xfId="40" applyNumberFormat="1" applyFont="1" applyBorder="1" applyAlignment="1">
      <alignment horizontal="left" vertical="top" wrapText="1"/>
    </xf>
    <xf numFmtId="169" fontId="103" fillId="4" borderId="1" xfId="0" applyFont="1" applyFill="1" applyBorder="1" applyAlignment="1">
      <alignment horizontal="left" vertical="top" wrapText="1"/>
    </xf>
    <xf numFmtId="2" fontId="103" fillId="4" borderId="1" xfId="40" applyNumberFormat="1" applyFont="1" applyFill="1" applyBorder="1" applyAlignment="1">
      <alignment horizontal="right" vertical="center" wrapText="1"/>
    </xf>
    <xf numFmtId="2" fontId="106" fillId="0" borderId="1" xfId="40" applyNumberFormat="1" applyFont="1" applyBorder="1" applyAlignment="1">
      <alignment vertical="top" wrapText="1"/>
    </xf>
    <xf numFmtId="1" fontId="103" fillId="10" borderId="1" xfId="40" applyNumberFormat="1" applyFont="1" applyFill="1" applyBorder="1" applyAlignment="1">
      <alignment vertical="top" wrapText="1"/>
    </xf>
    <xf numFmtId="2" fontId="103" fillId="10" borderId="1" xfId="40" applyNumberFormat="1" applyFont="1" applyFill="1" applyBorder="1" applyAlignment="1">
      <alignment vertical="top" wrapText="1"/>
    </xf>
    <xf numFmtId="2" fontId="103" fillId="10" borderId="1" xfId="40" applyNumberFormat="1" applyFont="1" applyFill="1" applyBorder="1" applyAlignment="1">
      <alignment horizontal="center" vertical="top" wrapText="1"/>
    </xf>
    <xf numFmtId="169" fontId="96" fillId="5" borderId="1" xfId="0" applyFont="1" applyFill="1" applyBorder="1" applyAlignment="1">
      <alignment vertical="top" wrapText="1"/>
    </xf>
    <xf numFmtId="169" fontId="103" fillId="5" borderId="1" xfId="0" applyFont="1" applyFill="1" applyBorder="1" applyAlignment="1">
      <alignment horizontal="center" vertical="top"/>
    </xf>
    <xf numFmtId="0" fontId="103" fillId="5" borderId="1" xfId="38" applyFont="1" applyFill="1" applyBorder="1" applyAlignment="1">
      <alignment horizontal="center" vertical="top" wrapText="1"/>
    </xf>
    <xf numFmtId="169" fontId="103" fillId="10" borderId="0" xfId="0" applyFont="1" applyFill="1" applyAlignment="1">
      <alignment vertical="top"/>
    </xf>
    <xf numFmtId="169" fontId="104" fillId="0" borderId="1" xfId="0" applyFont="1" applyBorder="1" applyAlignment="1">
      <alignment vertical="top" wrapText="1"/>
    </xf>
    <xf numFmtId="169" fontId="103" fillId="0" borderId="1" xfId="0" applyFont="1" applyBorder="1" applyAlignment="1">
      <alignment horizontal="center" vertical="center"/>
    </xf>
    <xf numFmtId="0" fontId="103" fillId="0" borderId="1" xfId="38" applyFont="1" applyBorder="1" applyAlignment="1">
      <alignment horizontal="center" vertical="center" wrapText="1"/>
    </xf>
    <xf numFmtId="2" fontId="103" fillId="0" borderId="1" xfId="42" applyNumberFormat="1" applyFont="1" applyBorder="1" applyAlignment="1">
      <alignment horizontal="left" vertical="top" wrapText="1"/>
    </xf>
    <xf numFmtId="169" fontId="103" fillId="0" borderId="1" xfId="0" applyFont="1" applyBorder="1" applyAlignment="1">
      <alignment horizontal="center" vertical="top"/>
    </xf>
    <xf numFmtId="0" fontId="103" fillId="0" borderId="1" xfId="38" applyFont="1" applyBorder="1" applyAlignment="1">
      <alignment horizontal="center" vertical="top" wrapText="1"/>
    </xf>
    <xf numFmtId="2" fontId="103" fillId="0" borderId="1" xfId="38" applyNumberFormat="1" applyFont="1" applyBorder="1" applyAlignment="1">
      <alignment horizontal="center" vertical="top" wrapText="1"/>
    </xf>
    <xf numFmtId="169" fontId="110" fillId="0" borderId="1" xfId="0" applyFont="1" applyBorder="1" applyAlignment="1">
      <alignment vertical="top" wrapText="1"/>
    </xf>
    <xf numFmtId="169" fontId="111" fillId="0" borderId="1" xfId="0" applyFont="1" applyBorder="1" applyAlignment="1">
      <alignment vertical="top" wrapText="1"/>
    </xf>
    <xf numFmtId="169" fontId="112" fillId="0" borderId="1" xfId="0" applyFont="1" applyBorder="1" applyAlignment="1">
      <alignment vertical="top" wrapText="1"/>
    </xf>
    <xf numFmtId="2" fontId="103" fillId="0" borderId="1" xfId="38" applyNumberFormat="1" applyFont="1" applyBorder="1" applyAlignment="1">
      <alignment horizontal="center" vertical="center" wrapText="1"/>
    </xf>
    <xf numFmtId="169" fontId="111" fillId="0" borderId="1" xfId="0" applyFont="1" applyBorder="1" applyAlignment="1">
      <alignment horizontal="center" vertical="center"/>
    </xf>
    <xf numFmtId="169" fontId="113" fillId="0" borderId="1" xfId="0" applyFont="1" applyBorder="1" applyAlignment="1">
      <alignment vertical="top" wrapText="1"/>
    </xf>
    <xf numFmtId="169" fontId="111" fillId="0" borderId="1" xfId="0" applyFont="1" applyBorder="1" applyAlignment="1">
      <alignment horizontal="center" vertical="center" wrapText="1"/>
    </xf>
    <xf numFmtId="169" fontId="111" fillId="0" borderId="1" xfId="0" applyFont="1" applyBorder="1" applyAlignment="1">
      <alignment horizontal="center" vertical="top" wrapText="1"/>
    </xf>
    <xf numFmtId="0" fontId="101" fillId="0" borderId="1" xfId="38" applyFont="1" applyBorder="1" applyAlignment="1">
      <alignment horizontal="justify" vertical="top" wrapText="1"/>
    </xf>
    <xf numFmtId="169" fontId="111" fillId="0" borderId="1" xfId="0" applyFont="1" applyBorder="1" applyAlignment="1">
      <alignment vertical="center" wrapText="1"/>
    </xf>
    <xf numFmtId="169" fontId="110" fillId="0" borderId="1" xfId="0" applyFont="1" applyBorder="1" applyAlignment="1">
      <alignment horizontal="left" vertical="top" wrapText="1"/>
    </xf>
    <xf numFmtId="169" fontId="111" fillId="0" borderId="1" xfId="0" applyFont="1" applyBorder="1" applyAlignment="1">
      <alignment horizontal="left" vertical="top" wrapText="1"/>
    </xf>
    <xf numFmtId="169" fontId="111" fillId="0" borderId="1" xfId="0" applyFont="1" applyBorder="1" applyAlignment="1">
      <alignment vertical="top"/>
    </xf>
    <xf numFmtId="169" fontId="111" fillId="0" borderId="1" xfId="0" applyFont="1" applyBorder="1" applyAlignment="1">
      <alignment horizontal="left" vertical="top"/>
    </xf>
    <xf numFmtId="169" fontId="103" fillId="0" borderId="1" xfId="0" applyFont="1" applyBorder="1" applyAlignment="1">
      <alignment horizontal="left" vertical="top"/>
    </xf>
    <xf numFmtId="0" fontId="101" fillId="0" borderId="1" xfId="38" applyFont="1" applyBorder="1" applyAlignment="1">
      <alignment horizontal="left" vertical="top" wrapText="1"/>
    </xf>
    <xf numFmtId="169" fontId="110" fillId="0" borderId="1" xfId="0" applyFont="1" applyBorder="1" applyAlignment="1">
      <alignment horizontal="left" vertical="top"/>
    </xf>
    <xf numFmtId="169" fontId="111" fillId="0" borderId="1" xfId="0" applyFont="1" applyBorder="1" applyAlignment="1">
      <alignment horizontal="left" vertical="center" wrapText="1"/>
    </xf>
    <xf numFmtId="1" fontId="103" fillId="5" borderId="1" xfId="40" applyNumberFormat="1" applyFont="1" applyFill="1" applyBorder="1" applyAlignment="1">
      <alignment vertical="top" wrapText="1"/>
    </xf>
    <xf numFmtId="169" fontId="111" fillId="5" borderId="1" xfId="0" applyFont="1" applyFill="1" applyBorder="1" applyAlignment="1">
      <alignment horizontal="left" vertical="center" wrapText="1"/>
    </xf>
    <xf numFmtId="2" fontId="103" fillId="5" borderId="1" xfId="38" applyNumberFormat="1" applyFont="1" applyFill="1" applyBorder="1" applyAlignment="1">
      <alignment horizontal="center" vertical="center" wrapText="1"/>
    </xf>
    <xf numFmtId="0" fontId="103" fillId="5" borderId="1" xfId="38" applyFont="1" applyFill="1" applyBorder="1" applyAlignment="1">
      <alignment horizontal="center" vertical="center" wrapText="1"/>
    </xf>
    <xf numFmtId="169" fontId="103" fillId="5" borderId="0" xfId="0" applyFont="1" applyFill="1" applyAlignment="1">
      <alignment vertical="top"/>
    </xf>
    <xf numFmtId="169" fontId="105" fillId="0" borderId="1" xfId="0" applyFont="1" applyBorder="1" applyAlignment="1">
      <alignment horizontal="left" vertical="center" wrapText="1"/>
    </xf>
    <xf numFmtId="0" fontId="101" fillId="5" borderId="1" xfId="38" applyFont="1" applyFill="1" applyBorder="1" applyAlignment="1">
      <alignment horizontal="justify" vertical="center" wrapText="1"/>
    </xf>
    <xf numFmtId="169" fontId="105" fillId="0" borderId="1" xfId="0" applyFont="1" applyBorder="1" applyAlignment="1">
      <alignment horizontal="left" vertical="top" wrapText="1"/>
    </xf>
    <xf numFmtId="2" fontId="103" fillId="0" borderId="1" xfId="39" applyNumberFormat="1" applyFont="1" applyBorder="1" applyAlignment="1">
      <alignment horizontal="center" vertical="top" wrapText="1"/>
    </xf>
    <xf numFmtId="169" fontId="101" fillId="0" borderId="1" xfId="0" applyFont="1" applyBorder="1" applyAlignment="1">
      <alignment horizontal="left" vertical="top" wrapText="1"/>
    </xf>
    <xf numFmtId="169" fontId="103" fillId="0" borderId="1" xfId="0" applyFont="1" applyBorder="1" applyAlignment="1">
      <alignment horizontal="left" vertical="top" wrapText="1"/>
    </xf>
    <xf numFmtId="169" fontId="104" fillId="0" borderId="1" xfId="0" applyFont="1" applyBorder="1" applyAlignment="1">
      <alignment horizontal="left" vertical="top" wrapText="1"/>
    </xf>
    <xf numFmtId="2" fontId="106" fillId="0" borderId="1" xfId="39" applyNumberFormat="1" applyFont="1" applyBorder="1" applyAlignment="1">
      <alignment horizontal="center" vertical="center" wrapText="1"/>
    </xf>
    <xf numFmtId="2" fontId="103" fillId="0" borderId="1" xfId="39" applyNumberFormat="1" applyFont="1" applyBorder="1" applyAlignment="1">
      <alignment horizontal="center" vertical="center" wrapText="1"/>
    </xf>
    <xf numFmtId="169" fontId="102" fillId="0" borderId="1" xfId="0" applyFont="1" applyBorder="1" applyAlignment="1">
      <alignment horizontal="left" vertical="top" wrapText="1"/>
    </xf>
    <xf numFmtId="2" fontId="106" fillId="0" borderId="1" xfId="38" applyNumberFormat="1" applyFont="1" applyBorder="1" applyAlignment="1">
      <alignment horizontal="center" vertical="top" wrapText="1"/>
    </xf>
    <xf numFmtId="169" fontId="87" fillId="0" borderId="1" xfId="0" applyFont="1" applyBorder="1" applyAlignment="1">
      <alignment horizontal="left" vertical="top" wrapText="1"/>
    </xf>
    <xf numFmtId="169" fontId="110" fillId="4" borderId="1" xfId="0" applyFont="1" applyFill="1" applyBorder="1" applyAlignment="1">
      <alignment horizontal="left" vertical="top"/>
    </xf>
    <xf numFmtId="169" fontId="112" fillId="0" borderId="1" xfId="0" applyFont="1" applyBorder="1" applyAlignment="1">
      <alignment horizontal="left" vertical="top" wrapText="1"/>
    </xf>
    <xf numFmtId="0" fontId="101" fillId="0" borderId="1" xfId="0" applyNumberFormat="1" applyFont="1" applyBorder="1" applyAlignment="1">
      <alignment horizontal="justify" vertical="top" wrapText="1"/>
    </xf>
    <xf numFmtId="0" fontId="96" fillId="0" borderId="1" xfId="0" applyNumberFormat="1" applyFont="1" applyBorder="1" applyAlignment="1">
      <alignment horizontal="justify" vertical="top" wrapText="1"/>
    </xf>
    <xf numFmtId="2" fontId="103" fillId="0" borderId="1" xfId="0" applyNumberFormat="1" applyFont="1" applyBorder="1" applyAlignment="1">
      <alignment horizontal="center" vertical="top"/>
    </xf>
    <xf numFmtId="0" fontId="103" fillId="0" borderId="1" xfId="0" applyNumberFormat="1" applyFont="1" applyBorder="1" applyAlignment="1">
      <alignment horizontal="center" vertical="top"/>
    </xf>
    <xf numFmtId="0" fontId="103" fillId="0" borderId="1" xfId="0" applyNumberFormat="1" applyFont="1" applyBorder="1" applyAlignment="1">
      <alignment horizontal="justify" vertical="top" wrapText="1"/>
    </xf>
    <xf numFmtId="2" fontId="103" fillId="0" borderId="1" xfId="0" applyNumberFormat="1" applyFont="1" applyBorder="1" applyAlignment="1">
      <alignment horizontal="center" vertical="center" wrapText="1"/>
    </xf>
    <xf numFmtId="0" fontId="103" fillId="0" borderId="1" xfId="0" applyNumberFormat="1" applyFont="1" applyBorder="1" applyAlignment="1">
      <alignment horizontal="center" vertical="center" wrapText="1"/>
    </xf>
    <xf numFmtId="2" fontId="103" fillId="0" borderId="1" xfId="0" applyNumberFormat="1" applyFont="1" applyBorder="1" applyAlignment="1">
      <alignment horizontal="center" vertical="center"/>
    </xf>
    <xf numFmtId="0" fontId="103" fillId="0" borderId="1" xfId="0" applyNumberFormat="1" applyFont="1" applyBorder="1" applyAlignment="1">
      <alignment horizontal="center" vertical="center"/>
    </xf>
    <xf numFmtId="0" fontId="96" fillId="0" borderId="1" xfId="0" applyNumberFormat="1" applyFont="1" applyBorder="1" applyAlignment="1">
      <alignment horizontal="justify" vertical="top"/>
    </xf>
    <xf numFmtId="0" fontId="103" fillId="0" borderId="1" xfId="0" applyNumberFormat="1" applyFont="1" applyBorder="1" applyAlignment="1">
      <alignment horizontal="center" vertical="top" wrapText="1"/>
    </xf>
    <xf numFmtId="0" fontId="103" fillId="0" borderId="1" xfId="0" applyNumberFormat="1" applyFont="1" applyBorder="1" applyAlignment="1">
      <alignment horizontal="justify" vertical="justify"/>
    </xf>
    <xf numFmtId="0" fontId="101" fillId="0" borderId="1" xfId="0" applyNumberFormat="1" applyFont="1" applyBorder="1" applyAlignment="1">
      <alignment horizontal="left" vertical="top"/>
    </xf>
    <xf numFmtId="2" fontId="103" fillId="0" borderId="1" xfId="1" applyNumberFormat="1" applyFont="1" applyBorder="1" applyAlignment="1">
      <alignment horizontal="center" vertical="top"/>
    </xf>
    <xf numFmtId="2" fontId="103" fillId="0" borderId="1" xfId="1" applyNumberFormat="1" applyFont="1" applyFill="1" applyBorder="1" applyAlignment="1">
      <alignment horizontal="center" vertical="top"/>
    </xf>
    <xf numFmtId="2" fontId="103" fillId="0" borderId="1" xfId="1" applyNumberFormat="1" applyFont="1" applyBorder="1" applyAlignment="1">
      <alignment horizontal="center" vertical="center"/>
    </xf>
    <xf numFmtId="169" fontId="101" fillId="0" borderId="1" xfId="0" applyFont="1" applyBorder="1" applyAlignment="1">
      <alignment vertical="top" wrapText="1"/>
    </xf>
    <xf numFmtId="2" fontId="103" fillId="5" borderId="1" xfId="38" applyNumberFormat="1" applyFont="1" applyFill="1" applyBorder="1" applyAlignment="1">
      <alignment horizontal="center" vertical="top" wrapText="1"/>
    </xf>
    <xf numFmtId="169" fontId="110" fillId="5" borderId="1" xfId="0" applyFont="1" applyFill="1" applyBorder="1" applyAlignment="1">
      <alignment vertical="top" wrapText="1"/>
    </xf>
    <xf numFmtId="169" fontId="110" fillId="0" borderId="1" xfId="0" applyFont="1" applyBorder="1" applyAlignment="1">
      <alignment vertical="center" wrapText="1"/>
    </xf>
    <xf numFmtId="169" fontId="110" fillId="4" borderId="1" xfId="0" applyFont="1" applyFill="1" applyBorder="1" applyAlignment="1">
      <alignment vertical="top" wrapText="1"/>
    </xf>
    <xf numFmtId="169" fontId="101" fillId="0" borderId="1" xfId="0" applyFont="1" applyBorder="1" applyAlignment="1">
      <alignment wrapText="1"/>
    </xf>
    <xf numFmtId="2" fontId="103" fillId="0" borderId="1" xfId="38" applyNumberFormat="1" applyFont="1" applyBorder="1" applyAlignment="1">
      <alignment horizontal="center" wrapText="1"/>
    </xf>
    <xf numFmtId="169" fontId="103" fillId="0" borderId="1" xfId="0" applyFont="1" applyBorder="1" applyAlignment="1">
      <alignment horizontal="center"/>
    </xf>
    <xf numFmtId="169" fontId="87" fillId="0" borderId="1" xfId="0" applyFont="1" applyBorder="1" applyAlignment="1">
      <alignment vertical="top" wrapText="1"/>
    </xf>
    <xf numFmtId="169" fontId="101" fillId="4" borderId="1" xfId="0" applyFont="1" applyFill="1" applyBorder="1" applyAlignment="1">
      <alignment horizontal="right" vertical="top"/>
    </xf>
    <xf numFmtId="169" fontId="103" fillId="4" borderId="1" xfId="0" applyFont="1" applyFill="1" applyBorder="1" applyAlignment="1">
      <alignment horizontal="right" vertical="top"/>
    </xf>
    <xf numFmtId="169" fontId="103" fillId="4" borderId="13" xfId="0" applyFont="1" applyFill="1" applyBorder="1" applyAlignment="1">
      <alignment vertical="top"/>
    </xf>
    <xf numFmtId="2" fontId="103" fillId="4" borderId="13" xfId="40" applyNumberFormat="1" applyFont="1" applyFill="1" applyBorder="1" applyAlignment="1">
      <alignment vertical="top" wrapText="1"/>
    </xf>
    <xf numFmtId="169" fontId="103" fillId="4" borderId="13" xfId="0" applyFont="1" applyFill="1" applyBorder="1" applyAlignment="1">
      <alignment horizontal="right" vertical="top"/>
    </xf>
    <xf numFmtId="2" fontId="103" fillId="4" borderId="13" xfId="40" applyNumberFormat="1" applyFont="1" applyFill="1" applyBorder="1" applyAlignment="1">
      <alignment horizontal="center" vertical="top" wrapText="1"/>
    </xf>
    <xf numFmtId="169" fontId="103" fillId="4" borderId="2" xfId="0" applyFont="1" applyFill="1" applyBorder="1" applyAlignment="1">
      <alignment vertical="top" wrapText="1"/>
    </xf>
    <xf numFmtId="2" fontId="103" fillId="4" borderId="2" xfId="40" applyNumberFormat="1" applyFont="1" applyFill="1" applyBorder="1" applyAlignment="1">
      <alignment vertical="top" wrapText="1"/>
    </xf>
    <xf numFmtId="169" fontId="103" fillId="4" borderId="2" xfId="0" applyFont="1" applyFill="1" applyBorder="1" applyAlignment="1">
      <alignment horizontal="right" vertical="top"/>
    </xf>
    <xf numFmtId="169" fontId="103" fillId="4" borderId="2" xfId="0" applyFont="1" applyFill="1" applyBorder="1" applyAlignment="1">
      <alignment horizontal="center" vertical="top"/>
    </xf>
    <xf numFmtId="2" fontId="101" fillId="4" borderId="2" xfId="40" applyNumberFormat="1" applyFont="1" applyFill="1" applyBorder="1" applyAlignment="1">
      <alignment vertical="top" wrapText="1"/>
    </xf>
    <xf numFmtId="169" fontId="103" fillId="4" borderId="2" xfId="0" applyFont="1" applyFill="1" applyBorder="1" applyAlignment="1">
      <alignment horizontal="left" vertical="top"/>
    </xf>
    <xf numFmtId="169" fontId="101" fillId="4" borderId="2" xfId="0" applyFont="1" applyFill="1" applyBorder="1" applyAlignment="1">
      <alignment vertical="top" wrapText="1"/>
    </xf>
    <xf numFmtId="169" fontId="103" fillId="4" borderId="2" xfId="0" applyFont="1" applyFill="1" applyBorder="1"/>
    <xf numFmtId="169" fontId="103" fillId="4" borderId="0" xfId="0" applyFont="1" applyFill="1" applyAlignment="1">
      <alignment horizontal="right" vertical="top"/>
    </xf>
    <xf numFmtId="169" fontId="69" fillId="0" borderId="0" xfId="0" applyFont="1" applyAlignment="1">
      <alignment horizontal="left" vertical="center" wrapText="1"/>
    </xf>
    <xf numFmtId="169" fontId="87" fillId="0" borderId="0" xfId="0" applyFont="1" applyAlignment="1">
      <alignment horizontal="center"/>
    </xf>
    <xf numFmtId="169" fontId="68" fillId="0" borderId="0" xfId="0" applyFont="1" applyAlignment="1">
      <alignment horizontal="left" wrapText="1"/>
    </xf>
    <xf numFmtId="170" fontId="60" fillId="0" borderId="0" xfId="0" applyNumberFormat="1" applyFont="1" applyAlignment="1">
      <alignment horizontal="left"/>
    </xf>
    <xf numFmtId="170" fontId="60" fillId="0" borderId="0" xfId="0" applyNumberFormat="1" applyFont="1" applyAlignment="1">
      <alignment horizontal="center" vertical="top"/>
    </xf>
    <xf numFmtId="169" fontId="60" fillId="0" borderId="0" xfId="0" applyFont="1" applyAlignment="1">
      <alignment horizontal="center" vertical="center"/>
    </xf>
    <xf numFmtId="169" fontId="69" fillId="0" borderId="0" xfId="0" applyFont="1" applyAlignment="1">
      <alignment horizontal="center" wrapText="1"/>
    </xf>
    <xf numFmtId="2" fontId="69" fillId="0" borderId="0" xfId="0" applyNumberFormat="1" applyFont="1" applyAlignment="1">
      <alignment horizontal="center" vertical="center" wrapText="1"/>
    </xf>
    <xf numFmtId="169" fontId="99" fillId="0" borderId="0" xfId="0" applyFont="1" applyAlignment="1">
      <alignment horizontal="left" vertical="justify" wrapText="1"/>
    </xf>
    <xf numFmtId="2" fontId="99" fillId="0" borderId="0" xfId="0" applyNumberFormat="1" applyFont="1"/>
    <xf numFmtId="176" fontId="69" fillId="0" borderId="0" xfId="0" applyNumberFormat="1" applyFont="1" applyAlignment="1">
      <alignment horizontal="center" vertical="center"/>
    </xf>
    <xf numFmtId="2" fontId="69" fillId="0" borderId="0" xfId="0" applyNumberFormat="1" applyFont="1" applyAlignment="1">
      <alignment horizontal="center" vertical="center"/>
    </xf>
    <xf numFmtId="169" fontId="69" fillId="0" borderId="0" xfId="0" applyFont="1" applyAlignment="1">
      <alignment horizontal="left" vertical="justify" wrapText="1"/>
    </xf>
    <xf numFmtId="169" fontId="99" fillId="0" borderId="0" xfId="0" applyFont="1" applyAlignment="1">
      <alignment horizontal="justify" vertical="justify" wrapText="1"/>
    </xf>
    <xf numFmtId="2" fontId="99" fillId="0" borderId="0" xfId="0" applyNumberFormat="1" applyFont="1" applyAlignment="1">
      <alignment horizontal="center" vertical="center"/>
    </xf>
    <xf numFmtId="169" fontId="99" fillId="0" borderId="0" xfId="0" applyFont="1" applyAlignment="1">
      <alignment horizontal="center" vertical="center"/>
    </xf>
    <xf numFmtId="169" fontId="99" fillId="0" borderId="0" xfId="0" applyFont="1" applyAlignment="1">
      <alignment horizontal="left" vertical="center"/>
    </xf>
    <xf numFmtId="2" fontId="61" fillId="0" borderId="0" xfId="0" applyNumberFormat="1" applyFont="1"/>
    <xf numFmtId="2" fontId="69" fillId="0" borderId="0" xfId="0" applyNumberFormat="1" applyFont="1"/>
    <xf numFmtId="169" fontId="69" fillId="0" borderId="0" xfId="0" applyFont="1" applyAlignment="1">
      <alignment horizontal="center" vertical="center"/>
    </xf>
    <xf numFmtId="169" fontId="69" fillId="0" borderId="0" xfId="0" applyFont="1" applyAlignment="1">
      <alignment horizontal="justify" vertical="justify" wrapText="1"/>
    </xf>
    <xf numFmtId="2" fontId="115" fillId="0" borderId="0" xfId="0" applyNumberFormat="1" applyFont="1"/>
    <xf numFmtId="169" fontId="99" fillId="0" borderId="0" xfId="0" applyFont="1" applyAlignment="1">
      <alignment horizontal="right"/>
    </xf>
    <xf numFmtId="2" fontId="99" fillId="0" borderId="0" xfId="0" quotePrefix="1" applyNumberFormat="1" applyFont="1"/>
    <xf numFmtId="2" fontId="99" fillId="0" borderId="0" xfId="0" applyNumberFormat="1" applyFont="1" applyAlignment="1">
      <alignment horizontal="right" vertical="center"/>
    </xf>
    <xf numFmtId="169" fontId="69" fillId="0" borderId="0" xfId="0" applyFont="1" applyAlignment="1">
      <alignment wrapText="1"/>
    </xf>
    <xf numFmtId="169" fontId="99" fillId="0" borderId="0" xfId="0" applyFont="1" applyAlignment="1">
      <alignment wrapText="1"/>
    </xf>
    <xf numFmtId="169" fontId="99" fillId="0" borderId="0" xfId="0" applyFont="1" applyAlignment="1">
      <alignment horizontal="right" wrapText="1"/>
    </xf>
    <xf numFmtId="169" fontId="69" fillId="0" borderId="0" xfId="0" applyFont="1" applyAlignment="1">
      <alignment horizontal="left" wrapText="1"/>
    </xf>
    <xf numFmtId="169" fontId="101" fillId="0" borderId="0" xfId="0" applyFont="1" applyAlignment="1">
      <alignment horizontal="center" vertical="center"/>
    </xf>
    <xf numFmtId="172" fontId="91" fillId="0" borderId="0" xfId="0" applyNumberFormat="1" applyFont="1" applyAlignment="1">
      <alignment horizontal="center"/>
    </xf>
    <xf numFmtId="169" fontId="96" fillId="0" borderId="0" xfId="0" applyFont="1" applyAlignment="1">
      <alignment horizontal="right" vertical="top"/>
    </xf>
    <xf numFmtId="169" fontId="88" fillId="0" borderId="0" xfId="0" applyFont="1" applyAlignment="1">
      <alignment horizontal="justify" vertical="top" wrapText="1"/>
    </xf>
    <xf numFmtId="170" fontId="99" fillId="0" borderId="0" xfId="0" applyNumberFormat="1" applyFont="1" applyAlignment="1">
      <alignment vertical="top"/>
    </xf>
    <xf numFmtId="172" fontId="99" fillId="0" borderId="0" xfId="0" applyNumberFormat="1" applyFont="1"/>
    <xf numFmtId="169" fontId="60" fillId="0" borderId="0" xfId="0" applyFont="1" applyAlignment="1">
      <alignment horizontal="fill" vertical="top"/>
    </xf>
    <xf numFmtId="169" fontId="60" fillId="0" borderId="0" xfId="0" applyFont="1" applyAlignment="1">
      <alignment horizontal="fill" vertical="top" wrapText="1"/>
    </xf>
    <xf numFmtId="172" fontId="92" fillId="0" borderId="0" xfId="0" applyNumberFormat="1" applyFont="1" applyAlignment="1">
      <alignment vertical="top"/>
    </xf>
    <xf numFmtId="169" fontId="89" fillId="0" borderId="0" xfId="0" applyFont="1" applyAlignment="1">
      <alignment wrapText="1"/>
    </xf>
    <xf numFmtId="169" fontId="89" fillId="0" borderId="0" xfId="0" quotePrefix="1" applyFont="1" applyAlignment="1">
      <alignment vertical="top"/>
    </xf>
    <xf numFmtId="169" fontId="89" fillId="0" borderId="0" xfId="0" quotePrefix="1" applyFont="1"/>
    <xf numFmtId="172" fontId="62" fillId="0" borderId="0" xfId="0" applyNumberFormat="1" applyFont="1" applyAlignment="1">
      <alignment vertical="top"/>
    </xf>
    <xf numFmtId="170" fontId="62" fillId="0" borderId="0" xfId="0" applyNumberFormat="1" applyFont="1"/>
    <xf numFmtId="170" fontId="60" fillId="0" borderId="0" xfId="0" applyNumberFormat="1" applyFont="1" applyAlignment="1">
      <alignment vertical="top"/>
    </xf>
    <xf numFmtId="172" fontId="60" fillId="0" borderId="0" xfId="0" applyNumberFormat="1" applyFont="1" applyAlignment="1">
      <alignment vertical="top"/>
    </xf>
    <xf numFmtId="170" fontId="99" fillId="0" borderId="0" xfId="0" applyNumberFormat="1" applyFont="1"/>
    <xf numFmtId="169" fontId="76" fillId="0" borderId="0" xfId="0" applyFont="1" applyAlignment="1">
      <alignment horizontal="left" vertical="top"/>
    </xf>
    <xf numFmtId="169" fontId="60" fillId="5" borderId="0" xfId="0" applyFont="1" applyFill="1" applyAlignment="1">
      <alignment wrapText="1"/>
    </xf>
    <xf numFmtId="169" fontId="95" fillId="6" borderId="0" xfId="0" applyFont="1" applyFill="1" applyAlignment="1">
      <alignment horizontal="left" vertical="top"/>
    </xf>
    <xf numFmtId="169" fontId="64" fillId="4" borderId="0" xfId="0" applyFont="1" applyFill="1" applyAlignment="1">
      <alignment horizontal="left" vertical="top"/>
    </xf>
    <xf numFmtId="169" fontId="64" fillId="7" borderId="0" xfId="0" applyFont="1" applyFill="1" applyAlignment="1">
      <alignment horizontal="left" vertical="top"/>
    </xf>
    <xf numFmtId="169" fontId="98" fillId="0" borderId="0" xfId="0" applyFont="1" applyAlignment="1">
      <alignment horizontal="left" vertical="top"/>
    </xf>
    <xf numFmtId="0" fontId="117" fillId="0" borderId="0" xfId="0" applyNumberFormat="1" applyFont="1" applyAlignment="1">
      <alignment vertical="center"/>
    </xf>
    <xf numFmtId="0" fontId="117" fillId="0" borderId="0" xfId="0" applyNumberFormat="1" applyFont="1" applyAlignment="1">
      <alignment horizontal="right" vertical="center"/>
    </xf>
    <xf numFmtId="169" fontId="0" fillId="0" borderId="0" xfId="0" applyFont="1"/>
    <xf numFmtId="169" fontId="117" fillId="0" borderId="0" xfId="0" applyFont="1"/>
    <xf numFmtId="0" fontId="117" fillId="0" borderId="0" xfId="0" applyNumberFormat="1" applyFont="1"/>
    <xf numFmtId="169" fontId="60" fillId="0" borderId="0" xfId="0" applyFont="1" applyBorder="1" applyAlignment="1">
      <alignment horizontal="right"/>
    </xf>
    <xf numFmtId="169" fontId="118" fillId="0" borderId="0" xfId="0" applyFont="1" applyAlignment="1">
      <alignment horizontal="right"/>
    </xf>
    <xf numFmtId="0" fontId="118" fillId="0" borderId="0" xfId="59" applyFont="1" applyBorder="1" applyAlignment="1">
      <alignment vertical="top" wrapText="1"/>
    </xf>
    <xf numFmtId="169" fontId="117" fillId="0" borderId="0" xfId="0" applyFont="1" applyAlignment="1">
      <alignment vertical="top"/>
    </xf>
    <xf numFmtId="169" fontId="118" fillId="0" borderId="0" xfId="0" applyFont="1" applyAlignment="1">
      <alignment vertical="top"/>
    </xf>
    <xf numFmtId="0" fontId="117" fillId="0" borderId="0" xfId="0" applyNumberFormat="1" applyFont="1" applyAlignment="1">
      <alignment vertical="top"/>
    </xf>
    <xf numFmtId="169" fontId="117" fillId="0" borderId="0" xfId="0" applyFont="1" applyBorder="1"/>
    <xf numFmtId="169" fontId="118" fillId="0" borderId="0" xfId="0" applyFont="1" applyAlignment="1">
      <alignment horizontal="left" vertical="center"/>
    </xf>
    <xf numFmtId="2" fontId="117" fillId="0" borderId="0" xfId="59" applyNumberFormat="1" applyFont="1" applyBorder="1" applyAlignment="1">
      <alignment horizontal="left" vertical="center" wrapText="1"/>
    </xf>
    <xf numFmtId="2" fontId="118" fillId="0" borderId="0" xfId="59" applyNumberFormat="1" applyFont="1" applyBorder="1" applyAlignment="1">
      <alignment horizontal="left" vertical="center"/>
    </xf>
    <xf numFmtId="169" fontId="117" fillId="0" borderId="0" xfId="0" applyFont="1" applyBorder="1" applyAlignment="1">
      <alignment horizontal="left" vertical="center"/>
    </xf>
    <xf numFmtId="169" fontId="117" fillId="0" borderId="0" xfId="0" applyFont="1" applyAlignment="1">
      <alignment horizontal="left" vertical="center"/>
    </xf>
    <xf numFmtId="169" fontId="118" fillId="0" borderId="0" xfId="0" applyFont="1" applyAlignment="1">
      <alignment horizontal="right" vertical="center"/>
    </xf>
    <xf numFmtId="2" fontId="117" fillId="0" borderId="0" xfId="59" applyNumberFormat="1" applyFont="1" applyBorder="1" applyAlignment="1">
      <alignment horizontal="right" vertical="center" wrapText="1"/>
    </xf>
    <xf numFmtId="2" fontId="118" fillId="0" borderId="0" xfId="59" applyNumberFormat="1" applyFont="1" applyBorder="1" applyAlignment="1">
      <alignment horizontal="left" vertical="center" wrapText="1"/>
    </xf>
    <xf numFmtId="169" fontId="117" fillId="0" borderId="0" xfId="0" applyFont="1" applyBorder="1" applyAlignment="1">
      <alignment horizontal="right" vertical="center"/>
    </xf>
    <xf numFmtId="169" fontId="117" fillId="0" borderId="0" xfId="0" applyFont="1" applyAlignment="1">
      <alignment horizontal="right" vertical="center"/>
    </xf>
    <xf numFmtId="169" fontId="118" fillId="0" borderId="0" xfId="0" applyFont="1" applyFill="1" applyAlignment="1">
      <alignment vertical="center"/>
    </xf>
    <xf numFmtId="169" fontId="118" fillId="0" borderId="0" xfId="0" applyFont="1" applyAlignment="1">
      <alignment horizontal="center" vertical="center"/>
    </xf>
    <xf numFmtId="2" fontId="118" fillId="0" borderId="0" xfId="59" applyNumberFormat="1" applyFont="1" applyFill="1" applyBorder="1" applyAlignment="1">
      <alignment horizontal="center" vertical="center" wrapText="1"/>
    </xf>
    <xf numFmtId="169" fontId="117" fillId="0" borderId="0" xfId="0" applyFont="1" applyBorder="1" applyAlignment="1">
      <alignment horizontal="center" vertical="center"/>
    </xf>
    <xf numFmtId="169" fontId="118" fillId="0" borderId="0" xfId="0" applyFont="1" applyBorder="1" applyAlignment="1">
      <alignment horizontal="right" vertical="center"/>
    </xf>
    <xf numFmtId="2" fontId="117" fillId="0" borderId="0" xfId="59" applyNumberFormat="1" applyFont="1" applyFill="1" applyBorder="1" applyAlignment="1">
      <alignment vertical="center" wrapText="1"/>
    </xf>
    <xf numFmtId="169" fontId="117" fillId="0" borderId="0" xfId="0" applyFont="1" applyFill="1" applyBorder="1" applyAlignment="1">
      <alignment vertical="center"/>
    </xf>
    <xf numFmtId="169" fontId="117" fillId="0" borderId="0" xfId="0" applyFont="1" applyFill="1" applyAlignment="1">
      <alignment vertical="center"/>
    </xf>
    <xf numFmtId="169" fontId="117" fillId="0" borderId="0" xfId="0" applyFont="1" applyAlignment="1">
      <alignment horizontal="center" vertical="center"/>
    </xf>
    <xf numFmtId="1" fontId="118" fillId="0" borderId="1" xfId="0" applyNumberFormat="1" applyFont="1" applyBorder="1" applyAlignment="1">
      <alignment horizontal="center" vertical="center" wrapText="1"/>
    </xf>
    <xf numFmtId="169" fontId="118" fillId="0" borderId="1" xfId="0" applyFont="1" applyBorder="1" applyAlignment="1">
      <alignment horizontal="center" vertical="center"/>
    </xf>
    <xf numFmtId="169" fontId="118" fillId="0" borderId="1" xfId="0" applyFont="1" applyFill="1" applyBorder="1" applyAlignment="1">
      <alignment horizontal="center" vertical="center"/>
    </xf>
    <xf numFmtId="169" fontId="118" fillId="0" borderId="1" xfId="0" applyFont="1" applyBorder="1" applyAlignment="1">
      <alignment horizontal="center" vertical="center" wrapText="1"/>
    </xf>
    <xf numFmtId="169" fontId="117" fillId="0" borderId="1" xfId="0" applyFont="1" applyBorder="1" applyAlignment="1">
      <alignment horizontal="center" vertical="center"/>
    </xf>
    <xf numFmtId="169" fontId="117" fillId="0" borderId="1" xfId="0" applyFont="1" applyBorder="1" applyAlignment="1">
      <alignment horizontal="left" vertical="center" wrapText="1"/>
    </xf>
    <xf numFmtId="169" fontId="117" fillId="0" borderId="1" xfId="0" applyFont="1" applyFill="1" applyBorder="1" applyAlignment="1">
      <alignment horizontal="center" vertical="center"/>
    </xf>
    <xf numFmtId="169" fontId="117" fillId="0" borderId="1" xfId="0" applyFont="1" applyBorder="1" applyAlignment="1">
      <alignment horizontal="center" vertical="center" wrapText="1"/>
    </xf>
    <xf numFmtId="2" fontId="117" fillId="0" borderId="1" xfId="59" applyNumberFormat="1" applyFont="1" applyBorder="1" applyAlignment="1">
      <alignment horizontal="left" vertical="center" wrapText="1"/>
    </xf>
    <xf numFmtId="169" fontId="117" fillId="0" borderId="1" xfId="0" applyFont="1" applyFill="1" applyBorder="1" applyAlignment="1">
      <alignment horizontal="center" vertical="center" wrapText="1"/>
    </xf>
    <xf numFmtId="2" fontId="117" fillId="0" borderId="1" xfId="59" applyNumberFormat="1" applyFont="1" applyBorder="1" applyAlignment="1">
      <alignment horizontal="center" vertical="center" wrapText="1"/>
    </xf>
    <xf numFmtId="2" fontId="117" fillId="0" borderId="1" xfId="59" applyNumberFormat="1" applyFont="1" applyFill="1" applyBorder="1" applyAlignment="1">
      <alignment horizontal="center" vertical="center" wrapText="1"/>
    </xf>
    <xf numFmtId="1" fontId="117" fillId="0" borderId="1" xfId="59" applyNumberFormat="1" applyFont="1" applyBorder="1" applyAlignment="1">
      <alignment horizontal="center" vertical="center" wrapText="1"/>
    </xf>
    <xf numFmtId="2" fontId="117" fillId="0" borderId="1" xfId="0" applyNumberFormat="1" applyFont="1" applyBorder="1" applyAlignment="1">
      <alignment horizontal="left" vertical="center" wrapText="1"/>
    </xf>
    <xf numFmtId="169" fontId="117" fillId="0" borderId="1" xfId="0" applyNumberFormat="1" applyFont="1" applyBorder="1" applyAlignment="1">
      <alignment horizontal="center" vertical="center"/>
    </xf>
    <xf numFmtId="176" fontId="117" fillId="0" borderId="1" xfId="59" applyNumberFormat="1" applyFont="1" applyFill="1" applyBorder="1" applyAlignment="1">
      <alignment horizontal="left" vertical="center" wrapText="1"/>
    </xf>
    <xf numFmtId="169" fontId="117" fillId="0" borderId="1" xfId="0" applyNumberFormat="1" applyFont="1" applyFill="1" applyBorder="1" applyAlignment="1">
      <alignment horizontal="center" vertical="center"/>
    </xf>
    <xf numFmtId="176" fontId="118" fillId="0" borderId="1" xfId="59" applyNumberFormat="1" applyFont="1" applyFill="1" applyBorder="1" applyAlignment="1">
      <alignment horizontal="left" vertical="center" wrapText="1"/>
    </xf>
    <xf numFmtId="170" fontId="117" fillId="0" borderId="1" xfId="0" applyNumberFormat="1" applyFont="1" applyBorder="1" applyAlignment="1">
      <alignment horizontal="center" vertical="center"/>
    </xf>
    <xf numFmtId="169" fontId="118" fillId="0" borderId="1" xfId="0" applyNumberFormat="1" applyFont="1" applyBorder="1" applyAlignment="1">
      <alignment horizontal="center" vertical="center"/>
    </xf>
    <xf numFmtId="0" fontId="117" fillId="0" borderId="1" xfId="0" applyNumberFormat="1" applyFont="1" applyBorder="1" applyAlignment="1">
      <alignment horizontal="left" vertical="center" wrapText="1"/>
    </xf>
    <xf numFmtId="0" fontId="117" fillId="0" borderId="1" xfId="59" applyFont="1" applyBorder="1" applyAlignment="1">
      <alignment horizontal="left" vertical="center" wrapText="1"/>
    </xf>
    <xf numFmtId="169" fontId="118" fillId="0" borderId="1" xfId="0" applyNumberFormat="1" applyFont="1" applyBorder="1" applyAlignment="1">
      <alignment horizontal="left" vertical="center"/>
    </xf>
    <xf numFmtId="1" fontId="118" fillId="0" borderId="0" xfId="0" applyNumberFormat="1" applyFont="1" applyAlignment="1">
      <alignment horizontal="center" vertical="center"/>
    </xf>
    <xf numFmtId="1" fontId="117" fillId="0" borderId="1" xfId="0" applyNumberFormat="1" applyFont="1" applyBorder="1" applyAlignment="1">
      <alignment horizontal="center" vertical="center" wrapText="1"/>
    </xf>
    <xf numFmtId="170" fontId="117" fillId="0" borderId="1" xfId="0" applyNumberFormat="1" applyFont="1" applyBorder="1" applyAlignment="1">
      <alignment horizontal="center" vertical="center" wrapText="1"/>
    </xf>
    <xf numFmtId="1" fontId="117" fillId="0" borderId="0" xfId="59" applyNumberFormat="1" applyFont="1" applyBorder="1" applyAlignment="1">
      <alignment horizontal="center" vertical="center" wrapText="1"/>
    </xf>
    <xf numFmtId="1" fontId="117" fillId="0" borderId="0" xfId="0" applyNumberFormat="1" applyFont="1" applyBorder="1" applyAlignment="1">
      <alignment horizontal="center" vertical="center"/>
    </xf>
    <xf numFmtId="1" fontId="117" fillId="0" borderId="0" xfId="0" applyNumberFormat="1" applyFont="1" applyAlignment="1">
      <alignment horizontal="center" vertical="center"/>
    </xf>
    <xf numFmtId="169" fontId="62" fillId="0" borderId="0" xfId="0" applyFont="1" applyAlignment="1">
      <alignment horizontal="right"/>
    </xf>
    <xf numFmtId="169" fontId="60" fillId="0" borderId="0" xfId="0" applyFont="1" applyAlignment="1">
      <alignment horizontal="center"/>
    </xf>
    <xf numFmtId="169" fontId="62" fillId="0" borderId="0" xfId="0" applyFont="1" applyAlignment="1">
      <alignment horizontal="center"/>
    </xf>
    <xf numFmtId="169" fontId="60" fillId="5" borderId="0" xfId="0" applyFont="1" applyFill="1" applyAlignment="1">
      <alignment horizontal="right"/>
    </xf>
    <xf numFmtId="169" fontId="60" fillId="5" borderId="0" xfId="0" applyFont="1" applyFill="1" applyBorder="1" applyAlignment="1">
      <alignment horizontal="right"/>
    </xf>
    <xf numFmtId="169" fontId="60" fillId="4" borderId="0" xfId="0" applyFont="1" applyFill="1" applyAlignment="1">
      <alignment horizontal="center"/>
    </xf>
    <xf numFmtId="169" fontId="62" fillId="4" borderId="0" xfId="0" applyFont="1" applyFill="1" applyAlignment="1">
      <alignment horizontal="left"/>
    </xf>
    <xf numFmtId="171" fontId="60" fillId="4" borderId="0" xfId="0" applyNumberFormat="1" applyFont="1" applyFill="1"/>
    <xf numFmtId="169" fontId="87" fillId="4" borderId="0" xfId="0" applyFont="1" applyFill="1"/>
    <xf numFmtId="169" fontId="60" fillId="4" borderId="0" xfId="0" applyFont="1" applyFill="1" applyAlignment="1">
      <alignment horizontal="fill"/>
    </xf>
    <xf numFmtId="169" fontId="88" fillId="4" borderId="0" xfId="0" applyFont="1" applyFill="1" applyAlignment="1">
      <alignment horizontal="left"/>
    </xf>
    <xf numFmtId="169" fontId="62" fillId="4" borderId="0" xfId="0" applyFont="1" applyFill="1" applyAlignment="1">
      <alignment horizontal="right"/>
    </xf>
    <xf numFmtId="169" fontId="62" fillId="4" borderId="0" xfId="0" applyFont="1" applyFill="1"/>
    <xf numFmtId="169" fontId="99" fillId="4" borderId="0" xfId="0" applyFont="1" applyFill="1" applyAlignment="1">
      <alignment horizontal="left"/>
    </xf>
    <xf numFmtId="169" fontId="69" fillId="4" borderId="0" xfId="0" applyFont="1" applyFill="1"/>
    <xf numFmtId="169" fontId="99" fillId="4" borderId="0" xfId="0" applyFont="1" applyFill="1"/>
    <xf numFmtId="169" fontId="69" fillId="4" borderId="0" xfId="0" applyFont="1" applyFill="1" applyAlignment="1">
      <alignment horizontal="center"/>
    </xf>
    <xf numFmtId="169" fontId="99" fillId="4" borderId="0" xfId="0" applyFont="1" applyFill="1" applyAlignment="1">
      <alignment horizontal="center"/>
    </xf>
    <xf numFmtId="169" fontId="62" fillId="4" borderId="0" xfId="0" applyFont="1" applyFill="1" applyAlignment="1">
      <alignment horizontal="center"/>
    </xf>
    <xf numFmtId="169" fontId="99" fillId="4" borderId="0" xfId="0" applyFont="1" applyFill="1" applyAlignment="1">
      <alignment horizontal="fill"/>
    </xf>
    <xf numFmtId="169" fontId="69" fillId="4" borderId="0" xfId="0" quotePrefix="1" applyFont="1" applyFill="1" applyAlignment="1">
      <alignment horizontal="right"/>
    </xf>
    <xf numFmtId="169" fontId="62" fillId="4" borderId="0" xfId="0" quotePrefix="1" applyFont="1" applyFill="1" applyAlignment="1">
      <alignment horizontal="center"/>
    </xf>
    <xf numFmtId="169" fontId="99" fillId="4" borderId="0" xfId="0" applyFont="1" applyFill="1" applyAlignment="1">
      <alignment horizontal="right" indent="2"/>
    </xf>
    <xf numFmtId="170" fontId="99" fillId="4" borderId="0" xfId="0" applyNumberFormat="1" applyFont="1" applyFill="1" applyAlignment="1">
      <alignment horizontal="center"/>
    </xf>
    <xf numFmtId="169" fontId="99" fillId="4" borderId="0" xfId="0" applyFont="1" applyFill="1" applyAlignment="1">
      <alignment horizontal="left" vertical="top" wrapText="1"/>
    </xf>
    <xf numFmtId="169" fontId="99" fillId="4" borderId="0" xfId="0" applyFont="1" applyFill="1" applyAlignment="1">
      <alignment horizontal="left" vertical="top"/>
    </xf>
    <xf numFmtId="172" fontId="60" fillId="4" borderId="0" xfId="0" applyNumberFormat="1" applyFont="1" applyFill="1" applyAlignment="1">
      <alignment horizontal="center"/>
    </xf>
    <xf numFmtId="0" fontId="99" fillId="4" borderId="0" xfId="0" applyNumberFormat="1" applyFont="1" applyFill="1"/>
    <xf numFmtId="169" fontId="99" fillId="4" borderId="0" xfId="0" quotePrefix="1" applyFont="1" applyFill="1"/>
    <xf numFmtId="0" fontId="99" fillId="4" borderId="0" xfId="0" applyNumberFormat="1" applyFont="1" applyFill="1" applyAlignment="1">
      <alignment wrapText="1"/>
    </xf>
    <xf numFmtId="0" fontId="91" fillId="4" borderId="0" xfId="0" applyNumberFormat="1" applyFont="1" applyFill="1" applyAlignment="1">
      <alignment wrapText="1"/>
    </xf>
    <xf numFmtId="169" fontId="60" fillId="4" borderId="0" xfId="0" applyFont="1" applyFill="1" applyAlignment="1">
      <alignment vertical="top" wrapText="1"/>
    </xf>
    <xf numFmtId="171" fontId="60" fillId="4" borderId="0" xfId="0" applyNumberFormat="1" applyFont="1" applyFill="1" applyAlignment="1">
      <alignment horizontal="center"/>
    </xf>
    <xf numFmtId="172" fontId="60" fillId="4" borderId="0" xfId="0" applyNumberFormat="1" applyFont="1" applyFill="1" applyAlignment="1">
      <alignment horizontal="left"/>
    </xf>
    <xf numFmtId="171" fontId="60" fillId="4" borderId="0" xfId="0" applyNumberFormat="1" applyFont="1" applyFill="1" applyAlignment="1">
      <alignment horizontal="left"/>
    </xf>
    <xf numFmtId="170" fontId="60" fillId="4" borderId="0" xfId="0" applyNumberFormat="1" applyFont="1" applyFill="1" applyAlignment="1">
      <alignment horizontal="center"/>
    </xf>
    <xf numFmtId="169" fontId="62" fillId="4" borderId="0" xfId="0" applyFont="1" applyFill="1" applyAlignment="1">
      <alignment horizontal="left" wrapText="1"/>
    </xf>
    <xf numFmtId="169" fontId="62" fillId="4" borderId="0" xfId="0" applyFont="1" applyFill="1" applyAlignment="1">
      <alignment horizontal="fill"/>
    </xf>
    <xf numFmtId="169" fontId="60" fillId="4" borderId="0" xfId="0" applyFont="1" applyFill="1" applyAlignment="1">
      <alignment horizontal="left" wrapText="1"/>
    </xf>
    <xf numFmtId="172" fontId="60" fillId="4" borderId="0" xfId="0" applyNumberFormat="1" applyFont="1" applyFill="1" applyAlignment="1">
      <alignment horizontal="center" vertical="top"/>
    </xf>
    <xf numFmtId="171" fontId="60" fillId="4" borderId="0" xfId="0" applyNumberFormat="1" applyFont="1" applyFill="1" applyAlignment="1">
      <alignment horizontal="center" vertical="top"/>
    </xf>
    <xf numFmtId="169" fontId="60" fillId="4" borderId="0" xfId="0" applyFont="1" applyFill="1" applyAlignment="1">
      <alignment horizontal="left" vertical="top" wrapText="1"/>
    </xf>
    <xf numFmtId="170" fontId="62" fillId="4" borderId="0" xfId="0" applyNumberFormat="1" applyFont="1" applyFill="1" applyAlignment="1">
      <alignment horizontal="center"/>
    </xf>
    <xf numFmtId="173" fontId="60" fillId="4" borderId="0" xfId="0" applyNumberFormat="1" applyFont="1" applyFill="1"/>
    <xf numFmtId="174" fontId="60" fillId="4" borderId="0" xfId="0" applyNumberFormat="1" applyFont="1" applyFill="1"/>
    <xf numFmtId="169" fontId="60" fillId="4" borderId="0" xfId="0" applyFont="1" applyFill="1" applyAlignment="1">
      <alignment horizontal="right"/>
    </xf>
    <xf numFmtId="169" fontId="60" fillId="4" borderId="0" xfId="0" quotePrefix="1" applyFont="1" applyFill="1"/>
    <xf numFmtId="169" fontId="60" fillId="4" borderId="0" xfId="0" applyFont="1" applyFill="1" applyAlignment="1">
      <alignment wrapText="1"/>
    </xf>
    <xf numFmtId="169" fontId="93" fillId="4" borderId="0" xfId="0" applyFont="1" applyFill="1"/>
    <xf numFmtId="169" fontId="72" fillId="4" borderId="0" xfId="0" applyFont="1" applyFill="1"/>
    <xf numFmtId="170" fontId="60" fillId="4" borderId="0" xfId="0" applyNumberFormat="1" applyFont="1" applyFill="1" applyAlignment="1">
      <alignment vertical="center" wrapText="1"/>
    </xf>
    <xf numFmtId="171" fontId="60" fillId="4" borderId="0" xfId="0" applyNumberFormat="1" applyFont="1" applyFill="1" applyAlignment="1">
      <alignment horizontal="right"/>
    </xf>
    <xf numFmtId="169" fontId="62" fillId="4" borderId="0" xfId="0" applyFont="1" applyFill="1" applyAlignment="1">
      <alignment wrapText="1"/>
    </xf>
    <xf numFmtId="170" fontId="60" fillId="4" borderId="0" xfId="0" applyNumberFormat="1" applyFont="1" applyFill="1"/>
    <xf numFmtId="174" fontId="60" fillId="4" borderId="0" xfId="0" quotePrefix="1" applyNumberFormat="1" applyFont="1" applyFill="1"/>
    <xf numFmtId="172" fontId="60" fillId="4" borderId="0" xfId="0" applyNumberFormat="1" applyFont="1" applyFill="1" applyAlignment="1">
      <alignment horizontal="center" vertical="top" wrapText="1"/>
    </xf>
    <xf numFmtId="169" fontId="60" fillId="4" borderId="0" xfId="0" applyFont="1" applyFill="1" applyAlignment="1">
      <alignment horizontal="justify" vertical="top" wrapText="1"/>
    </xf>
    <xf numFmtId="173" fontId="60" fillId="4" borderId="0" xfId="0" applyNumberFormat="1" applyFont="1" applyFill="1" applyAlignment="1">
      <alignment horizontal="left"/>
    </xf>
    <xf numFmtId="175" fontId="60" fillId="4" borderId="0" xfId="0" applyNumberFormat="1" applyFont="1" applyFill="1"/>
    <xf numFmtId="173" fontId="60" fillId="4" borderId="0" xfId="0" applyNumberFormat="1" applyFont="1" applyFill="1" applyAlignment="1">
      <alignment horizontal="fill"/>
    </xf>
    <xf numFmtId="169" fontId="94" fillId="4" borderId="0" xfId="0" applyFont="1" applyFill="1"/>
    <xf numFmtId="169" fontId="94" fillId="4" borderId="0" xfId="0" applyFont="1" applyFill="1" applyAlignment="1">
      <alignment horizontal="left"/>
    </xf>
    <xf numFmtId="171" fontId="60" fillId="4" borderId="0" xfId="0" applyNumberFormat="1" applyFont="1" applyFill="1" applyAlignment="1">
      <alignment horizontal="fill"/>
    </xf>
    <xf numFmtId="2" fontId="80" fillId="4" borderId="2" xfId="41" applyNumberFormat="1" applyFont="1" applyFill="1" applyBorder="1" applyAlignment="1">
      <alignment vertical="top" wrapText="1"/>
    </xf>
    <xf numFmtId="171" fontId="62" fillId="4" borderId="0" xfId="0" applyNumberFormat="1" applyFont="1" applyFill="1" applyAlignment="1">
      <alignment horizontal="right"/>
    </xf>
    <xf numFmtId="169" fontId="60" fillId="4" borderId="6" xfId="0" applyFont="1" applyFill="1" applyBorder="1"/>
    <xf numFmtId="169" fontId="91" fillId="4" borderId="0" xfId="0" applyFont="1" applyFill="1"/>
    <xf numFmtId="169" fontId="60" fillId="4" borderId="8" xfId="0" applyFont="1" applyFill="1" applyBorder="1"/>
    <xf numFmtId="174" fontId="91" fillId="4" borderId="0" xfId="0" applyNumberFormat="1" applyFont="1" applyFill="1"/>
    <xf numFmtId="169" fontId="97" fillId="4" borderId="0" xfId="0" applyFont="1" applyFill="1" applyAlignment="1">
      <alignment horizontal="center"/>
    </xf>
    <xf numFmtId="169" fontId="91" fillId="4" borderId="0" xfId="0" applyFont="1" applyFill="1" applyAlignment="1">
      <alignment horizontal="left"/>
    </xf>
    <xf numFmtId="169" fontId="91" fillId="4" borderId="0" xfId="0" applyFont="1" applyFill="1" applyAlignment="1">
      <alignment horizontal="center"/>
    </xf>
    <xf numFmtId="169" fontId="97" fillId="4" borderId="0" xfId="0" applyFont="1" applyFill="1"/>
    <xf numFmtId="169" fontId="60" fillId="4" borderId="10" xfId="0" applyFont="1" applyFill="1" applyBorder="1"/>
    <xf numFmtId="169" fontId="91" fillId="4" borderId="0" xfId="0" applyFont="1" applyFill="1" applyAlignment="1">
      <alignment horizontal="right"/>
    </xf>
    <xf numFmtId="169" fontId="91" fillId="4" borderId="0" xfId="0" applyFont="1" applyFill="1" applyAlignment="1">
      <alignment horizontal="fill"/>
    </xf>
    <xf numFmtId="169" fontId="60" fillId="4" borderId="5" xfId="0" applyFont="1" applyFill="1" applyBorder="1"/>
    <xf numFmtId="169" fontId="60" fillId="4" borderId="5" xfId="0" applyFont="1" applyFill="1" applyBorder="1" applyAlignment="1">
      <alignment horizontal="left"/>
    </xf>
    <xf numFmtId="169" fontId="60" fillId="4" borderId="7" xfId="0" applyFont="1" applyFill="1" applyBorder="1"/>
    <xf numFmtId="169" fontId="60" fillId="4" borderId="9" xfId="0" applyFont="1" applyFill="1" applyBorder="1"/>
    <xf numFmtId="169" fontId="60" fillId="4" borderId="3" xfId="0" applyFont="1" applyFill="1" applyBorder="1"/>
    <xf numFmtId="169" fontId="60" fillId="4" borderId="3" xfId="0" applyFont="1" applyFill="1" applyBorder="1" applyAlignment="1">
      <alignment horizontal="left"/>
    </xf>
    <xf numFmtId="169" fontId="60" fillId="4" borderId="3" xfId="0" applyFont="1" applyFill="1" applyBorder="1" applyAlignment="1">
      <alignment horizontal="fill"/>
    </xf>
    <xf numFmtId="171" fontId="60" fillId="4" borderId="7" xfId="0" applyNumberFormat="1" applyFont="1" applyFill="1" applyBorder="1"/>
    <xf numFmtId="171" fontId="60" fillId="4" borderId="9" xfId="0" applyNumberFormat="1" applyFont="1" applyFill="1" applyBorder="1"/>
    <xf numFmtId="169" fontId="62" fillId="4" borderId="3" xfId="0" applyFont="1" applyFill="1" applyBorder="1" applyAlignment="1">
      <alignment horizontal="center"/>
    </xf>
    <xf numFmtId="169" fontId="62" fillId="4" borderId="3" xfId="0" applyFont="1" applyFill="1" applyBorder="1"/>
    <xf numFmtId="169" fontId="62" fillId="4" borderId="3" xfId="0" applyFont="1" applyFill="1" applyBorder="1" applyAlignment="1">
      <alignment horizontal="left"/>
    </xf>
    <xf numFmtId="172" fontId="60" fillId="4" borderId="0" xfId="0" applyNumberFormat="1" applyFont="1" applyFill="1"/>
    <xf numFmtId="169" fontId="60" fillId="4" borderId="0" xfId="0" applyFont="1" applyFill="1" applyAlignment="1">
      <alignment vertical="center"/>
    </xf>
    <xf numFmtId="169" fontId="60" fillId="4" borderId="0" xfId="0" applyFont="1" applyFill="1" applyAlignment="1">
      <alignment horizontal="left" vertical="center"/>
    </xf>
    <xf numFmtId="169" fontId="62" fillId="4" borderId="11" xfId="0" applyFont="1" applyFill="1" applyBorder="1"/>
    <xf numFmtId="169" fontId="60" fillId="4" borderId="12" xfId="0" applyFont="1" applyFill="1" applyBorder="1" applyAlignment="1">
      <alignment horizontal="fill"/>
    </xf>
    <xf numFmtId="172" fontId="99" fillId="4" borderId="0" xfId="0" applyNumberFormat="1" applyFont="1" applyFill="1" applyAlignment="1">
      <alignment horizontal="center"/>
    </xf>
    <xf numFmtId="169" fontId="69" fillId="4" borderId="0" xfId="0" applyFont="1" applyFill="1" applyAlignment="1">
      <alignment horizontal="left"/>
    </xf>
    <xf numFmtId="171" fontId="99" fillId="4" borderId="0" xfId="0" applyNumberFormat="1" applyFont="1" applyFill="1"/>
    <xf numFmtId="171" fontId="69" fillId="4" borderId="0" xfId="0" applyNumberFormat="1" applyFont="1" applyFill="1"/>
    <xf numFmtId="173" fontId="99" fillId="4" borderId="0" xfId="0" applyNumberFormat="1" applyFont="1" applyFill="1" applyAlignment="1">
      <alignment horizontal="left"/>
    </xf>
    <xf numFmtId="175" fontId="99" fillId="4" borderId="0" xfId="0" applyNumberFormat="1" applyFont="1" applyFill="1"/>
    <xf numFmtId="171" fontId="60" fillId="4" borderId="0" xfId="0" applyNumberFormat="1" applyFont="1" applyFill="1" applyAlignment="1">
      <alignment wrapText="1"/>
    </xf>
    <xf numFmtId="169" fontId="60" fillId="4" borderId="0" xfId="0" applyFont="1" applyFill="1" applyAlignment="1">
      <alignment horizontal="fill" wrapText="1"/>
    </xf>
    <xf numFmtId="2" fontId="91" fillId="4" borderId="2" xfId="40" applyNumberFormat="1" applyFont="1" applyFill="1" applyBorder="1" applyAlignment="1">
      <alignment vertical="top" wrapText="1"/>
    </xf>
    <xf numFmtId="169" fontId="62" fillId="4" borderId="0" xfId="0" applyFont="1" applyFill="1" applyAlignment="1">
      <alignment horizontal="left" vertical="top" wrapText="1"/>
    </xf>
    <xf numFmtId="169" fontId="62" fillId="4" borderId="0" xfId="0" applyFont="1" applyFill="1" applyAlignment="1">
      <alignment horizontal="right" vertical="top"/>
    </xf>
    <xf numFmtId="169" fontId="60" fillId="4" borderId="0" xfId="0" quotePrefix="1" applyFont="1" applyFill="1" applyAlignment="1">
      <alignment horizontal="fill"/>
    </xf>
    <xf numFmtId="169" fontId="62" fillId="4" borderId="0" xfId="0" quotePrefix="1" applyFont="1" applyFill="1"/>
    <xf numFmtId="172" fontId="62" fillId="4" borderId="0" xfId="0" applyNumberFormat="1" applyFont="1" applyFill="1"/>
    <xf numFmtId="174" fontId="62" fillId="4" borderId="0" xfId="0" applyNumberFormat="1" applyFont="1" applyFill="1"/>
    <xf numFmtId="174" fontId="62" fillId="4" borderId="0" xfId="0" applyNumberFormat="1" applyFont="1" applyFill="1" applyAlignment="1">
      <alignment horizontal="right"/>
    </xf>
    <xf numFmtId="172" fontId="90" fillId="4" borderId="0" xfId="0" applyNumberFormat="1" applyFont="1" applyFill="1" applyAlignment="1">
      <alignment horizontal="center"/>
    </xf>
    <xf numFmtId="169" fontId="90" fillId="4" borderId="0" xfId="0" applyFont="1" applyFill="1"/>
    <xf numFmtId="169" fontId="90" fillId="4" borderId="0" xfId="0" applyFont="1" applyFill="1" applyAlignment="1">
      <alignment horizontal="left"/>
    </xf>
    <xf numFmtId="169" fontId="90" fillId="4" borderId="0" xfId="0" applyFont="1" applyFill="1" applyAlignment="1">
      <alignment horizontal="fill"/>
    </xf>
    <xf numFmtId="173" fontId="90" fillId="4" borderId="0" xfId="0" applyNumberFormat="1" applyFont="1" applyFill="1"/>
    <xf numFmtId="173" fontId="90" fillId="4" borderId="0" xfId="0" applyNumberFormat="1" applyFont="1" applyFill="1" applyAlignment="1">
      <alignment horizontal="left"/>
    </xf>
    <xf numFmtId="175" fontId="90" fillId="4" borderId="0" xfId="0" applyNumberFormat="1" applyFont="1" applyFill="1"/>
    <xf numFmtId="169" fontId="90" fillId="4" borderId="0" xfId="0" applyFont="1" applyFill="1" applyAlignment="1">
      <alignment horizontal="center"/>
    </xf>
    <xf numFmtId="169" fontId="88" fillId="4" borderId="0" xfId="0" applyFont="1" applyFill="1"/>
    <xf numFmtId="169" fontId="88" fillId="4" borderId="0" xfId="0" applyFont="1" applyFill="1" applyAlignment="1">
      <alignment horizontal="fill"/>
    </xf>
    <xf numFmtId="169" fontId="88" fillId="4" borderId="0" xfId="0" applyFont="1" applyFill="1" applyAlignment="1">
      <alignment horizontal="center"/>
    </xf>
    <xf numFmtId="2" fontId="60" fillId="4" borderId="0" xfId="0" applyNumberFormat="1" applyFont="1" applyFill="1"/>
    <xf numFmtId="169" fontId="80" fillId="4" borderId="0" xfId="0" applyFont="1" applyFill="1" applyAlignment="1">
      <alignment horizontal="right"/>
    </xf>
    <xf numFmtId="2" fontId="62" fillId="4" borderId="0" xfId="0" applyNumberFormat="1" applyFont="1" applyFill="1"/>
    <xf numFmtId="169" fontId="60" fillId="4" borderId="4" xfId="0" applyFont="1" applyFill="1" applyBorder="1"/>
    <xf numFmtId="172" fontId="60" fillId="4" borderId="7" xfId="0" applyNumberFormat="1" applyFont="1" applyFill="1" applyBorder="1" applyAlignment="1">
      <alignment horizontal="center"/>
    </xf>
    <xf numFmtId="173" fontId="60" fillId="4" borderId="0" xfId="0" applyNumberFormat="1" applyFont="1" applyFill="1" applyAlignment="1">
      <alignment horizontal="center"/>
    </xf>
    <xf numFmtId="169" fontId="60" fillId="4" borderId="3" xfId="0" applyFont="1" applyFill="1" applyBorder="1" applyAlignment="1">
      <alignment horizontal="center"/>
    </xf>
    <xf numFmtId="169" fontId="99" fillId="4" borderId="3" xfId="0" applyFont="1" applyFill="1" applyBorder="1" applyAlignment="1">
      <alignment horizontal="fill"/>
    </xf>
    <xf numFmtId="179" fontId="62" fillId="4" borderId="0" xfId="0" applyNumberFormat="1" applyFont="1" applyFill="1"/>
    <xf numFmtId="173" fontId="62" fillId="4" borderId="0" xfId="0" applyNumberFormat="1" applyFont="1" applyFill="1"/>
    <xf numFmtId="169" fontId="62" fillId="4" borderId="0" xfId="0" applyFont="1" applyFill="1" applyAlignment="1">
      <alignment vertical="top" wrapText="1"/>
    </xf>
    <xf numFmtId="169" fontId="90" fillId="4" borderId="0" xfId="0" applyFont="1" applyFill="1" applyAlignment="1">
      <alignment horizontal="right"/>
    </xf>
    <xf numFmtId="173" fontId="60" fillId="4" borderId="0" xfId="0" applyNumberFormat="1" applyFont="1" applyFill="1" applyAlignment="1">
      <alignment horizontal="right"/>
    </xf>
    <xf numFmtId="173" fontId="62" fillId="4" borderId="0" xfId="0" applyNumberFormat="1" applyFont="1" applyFill="1" applyAlignment="1">
      <alignment horizontal="right"/>
    </xf>
    <xf numFmtId="174" fontId="60" fillId="4" borderId="0" xfId="0" applyNumberFormat="1" applyFont="1" applyFill="1" applyAlignment="1">
      <alignment horizontal="right"/>
    </xf>
    <xf numFmtId="169" fontId="60" fillId="4" borderId="0" xfId="0" quotePrefix="1" applyFont="1" applyFill="1" applyAlignment="1">
      <alignment horizontal="left"/>
    </xf>
    <xf numFmtId="175" fontId="60" fillId="4" borderId="0" xfId="0" applyNumberFormat="1" applyFont="1" applyFill="1" applyAlignment="1">
      <alignment horizontal="right"/>
    </xf>
    <xf numFmtId="171" fontId="62" fillId="4" borderId="0" xfId="0" applyNumberFormat="1" applyFont="1" applyFill="1"/>
    <xf numFmtId="173" fontId="62" fillId="4" borderId="0" xfId="0" applyNumberFormat="1" applyFont="1" applyFill="1" applyAlignment="1">
      <alignment vertical="top"/>
    </xf>
    <xf numFmtId="169" fontId="62" fillId="4" borderId="0" xfId="0" applyFont="1" applyFill="1" applyAlignment="1">
      <alignment vertical="top"/>
    </xf>
    <xf numFmtId="170" fontId="62" fillId="4" borderId="0" xfId="0" applyNumberFormat="1" applyFont="1" applyFill="1" applyAlignment="1">
      <alignment vertical="center"/>
    </xf>
    <xf numFmtId="2" fontId="91" fillId="4" borderId="0" xfId="40" applyNumberFormat="1" applyFont="1" applyFill="1" applyAlignment="1">
      <alignment vertical="top" wrapText="1"/>
    </xf>
    <xf numFmtId="169" fontId="68" fillId="4" borderId="0" xfId="0" applyFont="1" applyFill="1"/>
    <xf numFmtId="169" fontId="62" fillId="4" borderId="0" xfId="0" applyFont="1" applyFill="1" applyAlignment="1">
      <alignment horizontal="center" vertical="top" wrapText="1"/>
    </xf>
    <xf numFmtId="169" fontId="60" fillId="4" borderId="0" xfId="0" applyFont="1" applyFill="1" applyAlignment="1">
      <alignment vertical="top"/>
    </xf>
    <xf numFmtId="169" fontId="91" fillId="4" borderId="0" xfId="0" applyFont="1" applyFill="1" applyAlignment="1">
      <alignment horizontal="left" wrapText="1"/>
    </xf>
    <xf numFmtId="174" fontId="91" fillId="4" borderId="0" xfId="0" applyNumberFormat="1" applyFont="1" applyFill="1" applyAlignment="1">
      <alignment horizontal="right"/>
    </xf>
    <xf numFmtId="169" fontId="62" fillId="4" borderId="0" xfId="0" applyFont="1" applyFill="1" applyAlignment="1">
      <alignment horizontal="center" wrapText="1"/>
    </xf>
    <xf numFmtId="169" fontId="101" fillId="4" borderId="0" xfId="0" applyFont="1" applyFill="1"/>
    <xf numFmtId="0" fontId="60" fillId="4" borderId="0" xfId="0" applyNumberFormat="1" applyFont="1" applyFill="1"/>
    <xf numFmtId="0" fontId="60" fillId="4" borderId="0" xfId="0" applyNumberFormat="1" applyFont="1" applyFill="1" applyAlignment="1">
      <alignment horizontal="center"/>
    </xf>
    <xf numFmtId="0" fontId="60" fillId="4" borderId="0" xfId="0" applyNumberFormat="1" applyFont="1" applyFill="1" applyAlignment="1">
      <alignment vertical="center"/>
    </xf>
    <xf numFmtId="0" fontId="60" fillId="4" borderId="0" xfId="0" applyNumberFormat="1" applyFont="1" applyFill="1" applyAlignment="1">
      <alignment wrapText="1"/>
    </xf>
    <xf numFmtId="174" fontId="60" fillId="4" borderId="0" xfId="0" applyNumberFormat="1" applyFont="1" applyFill="1" applyAlignment="1">
      <alignment horizontal="center"/>
    </xf>
    <xf numFmtId="169" fontId="99" fillId="4" borderId="0" xfId="0" applyFont="1" applyFill="1" applyAlignment="1">
      <alignment horizontal="right"/>
    </xf>
    <xf numFmtId="170" fontId="60" fillId="4" borderId="0" xfId="0" applyNumberFormat="1" applyFont="1" applyFill="1" applyAlignment="1">
      <alignment horizontal="left" wrapText="1"/>
    </xf>
    <xf numFmtId="170" fontId="60" fillId="4" borderId="0" xfId="0" applyNumberFormat="1" applyFont="1" applyFill="1" applyAlignment="1">
      <alignment horizontal="left"/>
    </xf>
    <xf numFmtId="170" fontId="60" fillId="4" borderId="4" xfId="0" applyNumberFormat="1" applyFont="1" applyFill="1" applyBorder="1" applyAlignment="1">
      <alignment horizontal="center"/>
    </xf>
    <xf numFmtId="169" fontId="60" fillId="4" borderId="4" xfId="0" applyFont="1" applyFill="1" applyBorder="1" applyAlignment="1">
      <alignment horizontal="center"/>
    </xf>
    <xf numFmtId="169" fontId="60" fillId="4" borderId="0" xfId="0" applyFont="1" applyFill="1" applyAlignment="1">
      <alignment horizontal="right" vertical="center"/>
    </xf>
    <xf numFmtId="169" fontId="60" fillId="4" borderId="0" xfId="0" applyFont="1" applyFill="1" applyAlignment="1">
      <alignment horizontal="right" vertical="top"/>
    </xf>
    <xf numFmtId="169" fontId="103" fillId="4" borderId="0" xfId="0" applyFont="1" applyFill="1"/>
    <xf numFmtId="0" fontId="90" fillId="4" borderId="0" xfId="0" applyNumberFormat="1" applyFont="1" applyFill="1" applyAlignment="1">
      <alignment vertical="top" wrapText="1"/>
    </xf>
    <xf numFmtId="0" fontId="90" fillId="4" borderId="0" xfId="0" applyNumberFormat="1" applyFont="1" applyFill="1" applyAlignment="1">
      <alignment horizontal="center" wrapText="1"/>
    </xf>
    <xf numFmtId="0" fontId="88" fillId="4" borderId="0" xfId="0" applyNumberFormat="1" applyFont="1" applyFill="1"/>
    <xf numFmtId="2" fontId="88" fillId="4" borderId="0" xfId="0" applyNumberFormat="1" applyFont="1" applyFill="1"/>
    <xf numFmtId="2" fontId="90" fillId="4" borderId="0" xfId="0" applyNumberFormat="1" applyFont="1" applyFill="1"/>
    <xf numFmtId="0" fontId="88" fillId="4" borderId="0" xfId="0" applyNumberFormat="1" applyFont="1" applyFill="1" applyAlignment="1">
      <alignment horizontal="right"/>
    </xf>
    <xf numFmtId="0" fontId="69" fillId="4" borderId="0" xfId="0" applyNumberFormat="1" applyFont="1" applyFill="1"/>
    <xf numFmtId="0" fontId="88" fillId="4" borderId="0" xfId="0" applyNumberFormat="1" applyFont="1" applyFill="1" applyAlignment="1">
      <alignment horizontal="center"/>
    </xf>
    <xf numFmtId="174" fontId="88" fillId="4" borderId="0" xfId="0" applyNumberFormat="1" applyFont="1" applyFill="1" applyAlignment="1">
      <alignment vertical="top"/>
    </xf>
    <xf numFmtId="0" fontId="125" fillId="4" borderId="1" xfId="0" applyNumberFormat="1" applyFont="1" applyFill="1" applyBorder="1" applyAlignment="1"/>
    <xf numFmtId="0" fontId="125" fillId="4" borderId="1" xfId="0" applyNumberFormat="1" applyFont="1" applyFill="1" applyBorder="1"/>
    <xf numFmtId="2" fontId="125" fillId="4" borderId="1" xfId="0" applyNumberFormat="1" applyFont="1" applyFill="1" applyBorder="1"/>
    <xf numFmtId="0" fontId="125" fillId="4" borderId="1" xfId="0" applyNumberFormat="1" applyFont="1" applyFill="1" applyBorder="1" applyAlignment="1">
      <alignment wrapText="1"/>
    </xf>
    <xf numFmtId="169" fontId="26" fillId="4" borderId="0" xfId="0" applyFont="1" applyFill="1"/>
    <xf numFmtId="0" fontId="26" fillId="4" borderId="0" xfId="0" applyNumberFormat="1" applyFont="1" applyFill="1"/>
    <xf numFmtId="0" fontId="123" fillId="4" borderId="0" xfId="0" applyNumberFormat="1" applyFont="1" applyFill="1"/>
    <xf numFmtId="0" fontId="117" fillId="4" borderId="1" xfId="0" applyNumberFormat="1" applyFont="1" applyFill="1" applyBorder="1" applyAlignment="1">
      <alignment horizontal="center" vertical="top"/>
    </xf>
    <xf numFmtId="0" fontId="26" fillId="4" borderId="1" xfId="0" applyNumberFormat="1" applyFont="1" applyFill="1" applyBorder="1"/>
    <xf numFmtId="0" fontId="26" fillId="4" borderId="1" xfId="0" applyNumberFormat="1" applyFont="1" applyFill="1" applyBorder="1" applyAlignment="1">
      <alignment horizontal="center"/>
    </xf>
    <xf numFmtId="0" fontId="117" fillId="4" borderId="1" xfId="0" applyNumberFormat="1" applyFont="1" applyFill="1" applyBorder="1" applyAlignment="1"/>
    <xf numFmtId="2" fontId="26" fillId="4" borderId="1" xfId="0" applyNumberFormat="1" applyFont="1" applyFill="1" applyBorder="1"/>
    <xf numFmtId="0" fontId="117" fillId="4" borderId="1" xfId="0" applyNumberFormat="1" applyFont="1" applyFill="1" applyBorder="1" applyAlignment="1">
      <alignment wrapText="1"/>
    </xf>
    <xf numFmtId="0" fontId="118" fillId="4" borderId="1" xfId="0" applyNumberFormat="1" applyFont="1" applyFill="1" applyBorder="1" applyAlignment="1"/>
    <xf numFmtId="2" fontId="118" fillId="4" borderId="1" xfId="0" applyNumberFormat="1" applyFont="1" applyFill="1" applyBorder="1" applyAlignment="1">
      <alignment horizontal="right"/>
    </xf>
    <xf numFmtId="2" fontId="118" fillId="4" borderId="1" xfId="0" applyNumberFormat="1" applyFont="1" applyFill="1" applyBorder="1"/>
    <xf numFmtId="0" fontId="117" fillId="4" borderId="0" xfId="0" applyNumberFormat="1" applyFont="1" applyFill="1"/>
    <xf numFmtId="0" fontId="117" fillId="4" borderId="1" xfId="0" applyNumberFormat="1" applyFont="1" applyFill="1" applyBorder="1"/>
    <xf numFmtId="2" fontId="117" fillId="4" borderId="1" xfId="0" applyNumberFormat="1" applyFont="1" applyFill="1" applyBorder="1"/>
    <xf numFmtId="2" fontId="117" fillId="4" borderId="0" xfId="0" applyNumberFormat="1" applyFont="1" applyFill="1"/>
    <xf numFmtId="2" fontId="26" fillId="4" borderId="0" xfId="0" applyNumberFormat="1" applyFont="1" applyFill="1"/>
    <xf numFmtId="176" fontId="26" fillId="4" borderId="0" xfId="0" applyNumberFormat="1" applyFont="1" applyFill="1"/>
    <xf numFmtId="0" fontId="118" fillId="4" borderId="1" xfId="0" applyNumberFormat="1" applyFont="1" applyFill="1" applyBorder="1" applyAlignment="1">
      <alignment horizontal="center"/>
    </xf>
    <xf numFmtId="16" fontId="117" fillId="4" borderId="9" xfId="0" applyNumberFormat="1" applyFont="1" applyFill="1" applyBorder="1" applyAlignment="1">
      <alignment vertical="top" wrapText="1"/>
    </xf>
    <xf numFmtId="0" fontId="117" fillId="4" borderId="3" xfId="0" applyNumberFormat="1" applyFont="1" applyFill="1" applyBorder="1" applyAlignment="1">
      <alignment vertical="top" wrapText="1"/>
    </xf>
    <xf numFmtId="0" fontId="117" fillId="4" borderId="10" xfId="0" applyNumberFormat="1" applyFont="1" applyFill="1" applyBorder="1" applyAlignment="1">
      <alignment vertical="top" wrapText="1"/>
    </xf>
    <xf numFmtId="169" fontId="26" fillId="4" borderId="1" xfId="0" applyFont="1" applyFill="1" applyBorder="1"/>
    <xf numFmtId="170" fontId="26" fillId="4" borderId="1" xfId="0" applyNumberFormat="1" applyFont="1" applyFill="1" applyBorder="1"/>
    <xf numFmtId="0" fontId="117" fillId="4" borderId="1" xfId="0" quotePrefix="1" applyNumberFormat="1" applyFont="1" applyFill="1" applyBorder="1" applyAlignment="1">
      <alignment horizontal="center" vertical="top" wrapText="1"/>
    </xf>
    <xf numFmtId="9" fontId="117" fillId="4" borderId="1" xfId="0" applyNumberFormat="1" applyFont="1" applyFill="1" applyBorder="1" applyAlignment="1"/>
    <xf numFmtId="177" fontId="117" fillId="4" borderId="1" xfId="0" applyNumberFormat="1" applyFont="1" applyFill="1" applyBorder="1"/>
    <xf numFmtId="169" fontId="117" fillId="4" borderId="1" xfId="0" applyFont="1" applyFill="1" applyBorder="1"/>
    <xf numFmtId="169" fontId="26" fillId="4" borderId="1" xfId="0" applyFont="1" applyFill="1" applyBorder="1" applyAlignment="1">
      <alignment horizontal="left" vertical="top" wrapText="1"/>
    </xf>
    <xf numFmtId="170" fontId="26" fillId="4" borderId="1" xfId="0" applyNumberFormat="1" applyFont="1" applyFill="1" applyBorder="1" applyAlignment="1">
      <alignment horizontal="left" vertical="top" wrapText="1"/>
    </xf>
    <xf numFmtId="169" fontId="117" fillId="4" borderId="1" xfId="0" applyFont="1" applyFill="1" applyBorder="1" applyAlignment="1">
      <alignment vertical="center"/>
    </xf>
    <xf numFmtId="169" fontId="117" fillId="4" borderId="1" xfId="0" applyFont="1" applyFill="1" applyBorder="1" applyAlignment="1">
      <alignment horizontal="center" vertical="center"/>
    </xf>
    <xf numFmtId="169" fontId="117" fillId="4" borderId="0" xfId="0" applyFont="1" applyFill="1"/>
    <xf numFmtId="169" fontId="26" fillId="4" borderId="1" xfId="0" applyFont="1" applyFill="1" applyBorder="1" applyAlignment="1">
      <alignment horizontal="left" vertical="center" wrapText="1"/>
    </xf>
    <xf numFmtId="169" fontId="117" fillId="4" borderId="0" xfId="0" applyFont="1" applyFill="1" applyBorder="1"/>
    <xf numFmtId="169" fontId="26" fillId="4" borderId="0" xfId="0" applyFont="1" applyFill="1" applyBorder="1"/>
    <xf numFmtId="170" fontId="118" fillId="4" borderId="1" xfId="0" applyNumberFormat="1" applyFont="1" applyFill="1" applyBorder="1" applyAlignment="1"/>
    <xf numFmtId="170" fontId="117" fillId="4" borderId="1" xfId="0" applyNumberFormat="1" applyFont="1" applyFill="1" applyBorder="1"/>
    <xf numFmtId="170" fontId="125" fillId="4" borderId="1" xfId="0" applyNumberFormat="1" applyFont="1" applyFill="1" applyBorder="1"/>
    <xf numFmtId="170" fontId="26" fillId="4" borderId="1" xfId="0" applyNumberFormat="1" applyFont="1" applyFill="1" applyBorder="1" applyAlignment="1">
      <alignment horizontal="left" vertical="center" wrapText="1"/>
    </xf>
    <xf numFmtId="170" fontId="26" fillId="4" borderId="0" xfId="0" applyNumberFormat="1" applyFont="1" applyFill="1" applyBorder="1"/>
    <xf numFmtId="170" fontId="26" fillId="4" borderId="0" xfId="0" applyNumberFormat="1" applyFont="1" applyFill="1"/>
    <xf numFmtId="170" fontId="118" fillId="4" borderId="1" xfId="0" applyNumberFormat="1" applyFont="1" applyFill="1" applyBorder="1" applyAlignment="1">
      <alignment horizontal="center"/>
    </xf>
    <xf numFmtId="169" fontId="62" fillId="5" borderId="20" xfId="0" applyFont="1" applyFill="1" applyBorder="1"/>
    <xf numFmtId="169" fontId="62" fillId="5" borderId="20" xfId="0" applyFont="1" applyFill="1" applyBorder="1" applyAlignment="1">
      <alignment horizontal="left" vertical="top"/>
    </xf>
    <xf numFmtId="169" fontId="60" fillId="5" borderId="20" xfId="0" applyFont="1" applyFill="1" applyBorder="1"/>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9" fontId="17" fillId="0" borderId="0" xfId="0" applyFont="1" applyAlignment="1">
      <alignment horizontal="left" vertical="center" wrapText="1"/>
    </xf>
    <xf numFmtId="0" fontId="17" fillId="0" borderId="0" xfId="0" applyNumberFormat="1" applyFont="1" applyAlignment="1">
      <alignment horizontal="center" vertical="center" wrapText="1"/>
    </xf>
    <xf numFmtId="169" fontId="17" fillId="0" borderId="0" xfId="0" applyFont="1" applyAlignment="1">
      <alignment horizontal="center" vertical="center" wrapText="1"/>
    </xf>
    <xf numFmtId="169" fontId="17" fillId="0" borderId="0" xfId="0" applyFont="1" applyAlignment="1">
      <alignment horizontal="center" vertical="center"/>
    </xf>
    <xf numFmtId="0" fontId="20" fillId="0" borderId="0" xfId="0" applyNumberFormat="1" applyFont="1" applyAlignment="1">
      <alignment horizontal="left"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169" fontId="60" fillId="0" borderId="0" xfId="0" applyFont="1" applyAlignment="1">
      <alignment horizontal="center" vertical="top" wrapText="1"/>
    </xf>
    <xf numFmtId="169" fontId="68" fillId="0" borderId="0" xfId="0" applyFont="1" applyAlignment="1">
      <alignment horizontal="center" vertical="center"/>
    </xf>
    <xf numFmtId="169" fontId="60" fillId="0" borderId="0" xfId="0" applyFont="1" applyAlignment="1">
      <alignment horizontal="center" vertical="center" wrapText="1"/>
    </xf>
    <xf numFmtId="169" fontId="60" fillId="0" borderId="0" xfId="0" applyFont="1" applyAlignment="1">
      <alignment horizontal="center" vertical="top"/>
    </xf>
    <xf numFmtId="169" fontId="69" fillId="0" borderId="0" xfId="0" applyFont="1" applyAlignment="1">
      <alignment horizontal="center" wrapText="1"/>
    </xf>
    <xf numFmtId="169" fontId="99" fillId="0" borderId="0" xfId="0" applyFont="1" applyAlignment="1">
      <alignment horizontal="center" vertical="center"/>
    </xf>
    <xf numFmtId="2" fontId="99" fillId="0" borderId="0" xfId="0" applyNumberFormat="1" applyFont="1" applyAlignment="1">
      <alignment horizontal="center"/>
    </xf>
    <xf numFmtId="169" fontId="60" fillId="0" borderId="0" xfId="0" applyFont="1" applyAlignment="1">
      <alignment horizontal="left" vertical="top" wrapText="1"/>
    </xf>
    <xf numFmtId="169" fontId="69" fillId="0" borderId="0" xfId="0" applyFont="1" applyAlignment="1">
      <alignment horizontal="center" vertical="center" wrapText="1"/>
    </xf>
    <xf numFmtId="169" fontId="3" fillId="0" borderId="0" xfId="0" applyFont="1" applyAlignment="1">
      <alignment horizontal="center"/>
    </xf>
    <xf numFmtId="169" fontId="8" fillId="0" borderId="0" xfId="0" applyFont="1" applyAlignment="1">
      <alignment horizontal="center"/>
    </xf>
    <xf numFmtId="169" fontId="4" fillId="0" borderId="0" xfId="0" applyFont="1" applyAlignment="1">
      <alignment horizontal="center"/>
    </xf>
    <xf numFmtId="169" fontId="8" fillId="0" borderId="0" xfId="0" applyFont="1" applyAlignment="1">
      <alignment horizontal="left"/>
    </xf>
    <xf numFmtId="0" fontId="39" fillId="0" borderId="0" xfId="0" applyNumberFormat="1" applyFont="1" applyAlignment="1">
      <alignment horizontal="center" vertical="center" wrapText="1"/>
    </xf>
    <xf numFmtId="169" fontId="97" fillId="4" borderId="0" xfId="0" applyFont="1" applyFill="1" applyAlignment="1">
      <alignment horizontal="center"/>
    </xf>
    <xf numFmtId="0" fontId="60" fillId="4" borderId="0" xfId="0" applyNumberFormat="1" applyFont="1" applyFill="1" applyAlignment="1">
      <alignment horizontal="center"/>
    </xf>
    <xf numFmtId="169" fontId="69" fillId="4" borderId="0" xfId="0" applyFont="1" applyFill="1" applyAlignment="1">
      <alignment horizontal="center"/>
    </xf>
    <xf numFmtId="0" fontId="87" fillId="4" borderId="0" xfId="0" applyNumberFormat="1" applyFont="1" applyFill="1" applyAlignment="1">
      <alignment horizontal="center" wrapText="1"/>
    </xf>
    <xf numFmtId="169" fontId="62" fillId="4" borderId="0" xfId="0" applyFont="1" applyFill="1" applyAlignment="1">
      <alignment horizontal="center"/>
    </xf>
    <xf numFmtId="169" fontId="60" fillId="4" borderId="0" xfId="0" applyFont="1" applyFill="1" applyAlignment="1">
      <alignment horizontal="left" vertical="top" wrapText="1"/>
    </xf>
    <xf numFmtId="169" fontId="62" fillId="4" borderId="0" xfId="0" applyFont="1" applyFill="1" applyAlignment="1">
      <alignment horizontal="left" vertical="top"/>
    </xf>
    <xf numFmtId="169" fontId="97" fillId="4" borderId="0" xfId="0" applyFont="1" applyFill="1" applyAlignment="1">
      <alignment horizontal="center" wrapText="1"/>
    </xf>
    <xf numFmtId="169" fontId="60" fillId="4" borderId="0" xfId="0" quotePrefix="1" applyFont="1" applyFill="1" applyAlignment="1">
      <alignment horizontal="center"/>
    </xf>
    <xf numFmtId="169" fontId="60" fillId="4" borderId="0" xfId="0" applyFont="1" applyFill="1" applyAlignment="1">
      <alignment horizontal="center"/>
    </xf>
    <xf numFmtId="169" fontId="62" fillId="4" borderId="0" xfId="0" applyFont="1" applyFill="1" applyAlignment="1">
      <alignment vertical="top" wrapText="1"/>
    </xf>
    <xf numFmtId="169" fontId="60" fillId="4" borderId="0" xfId="0" applyFont="1" applyFill="1" applyAlignment="1">
      <alignment vertical="top"/>
    </xf>
    <xf numFmtId="169" fontId="62" fillId="4" borderId="0" xfId="0" applyFont="1" applyFill="1" applyAlignment="1">
      <alignment vertical="top"/>
    </xf>
    <xf numFmtId="169" fontId="60" fillId="4" borderId="0" xfId="0" applyFont="1" applyFill="1" applyAlignment="1">
      <alignment horizontal="center" wrapText="1"/>
    </xf>
    <xf numFmtId="0" fontId="99" fillId="4" borderId="0" xfId="0" applyNumberFormat="1" applyFont="1" applyFill="1" applyAlignment="1">
      <alignment horizontal="center" wrapText="1"/>
    </xf>
    <xf numFmtId="169" fontId="62" fillId="4" borderId="0" xfId="0" applyFont="1" applyFill="1" applyAlignment="1">
      <alignment horizontal="right"/>
    </xf>
    <xf numFmtId="171" fontId="60" fillId="4" borderId="0" xfId="0" applyNumberFormat="1" applyFont="1" applyFill="1" applyAlignment="1">
      <alignment horizontal="right"/>
    </xf>
    <xf numFmtId="169" fontId="101" fillId="4" borderId="1" xfId="0" applyFont="1" applyFill="1" applyBorder="1" applyAlignment="1">
      <alignment horizontal="center" vertical="center" wrapText="1"/>
    </xf>
    <xf numFmtId="169" fontId="101" fillId="4" borderId="1" xfId="0" applyFont="1" applyFill="1" applyBorder="1" applyAlignment="1">
      <alignment horizontal="center" vertical="top" wrapText="1"/>
    </xf>
    <xf numFmtId="169" fontId="117" fillId="0" borderId="1" xfId="0" applyNumberFormat="1" applyFont="1" applyFill="1" applyBorder="1" applyAlignment="1">
      <alignment horizontal="center" vertical="center"/>
    </xf>
    <xf numFmtId="169" fontId="118" fillId="0" borderId="1" xfId="0" applyNumberFormat="1" applyFont="1" applyBorder="1" applyAlignment="1">
      <alignment horizontal="center" vertical="center"/>
    </xf>
    <xf numFmtId="169" fontId="118" fillId="0" borderId="0" xfId="0" applyFont="1" applyBorder="1" applyAlignment="1">
      <alignment horizontal="center" vertical="center"/>
    </xf>
    <xf numFmtId="169" fontId="118" fillId="0" borderId="1" xfId="0" applyNumberFormat="1" applyFont="1" applyFill="1" applyBorder="1" applyAlignment="1">
      <alignment horizontal="center" vertical="center"/>
    </xf>
    <xf numFmtId="169" fontId="116" fillId="0" borderId="0" xfId="0" applyFont="1" applyAlignment="1">
      <alignment horizontal="center"/>
    </xf>
    <xf numFmtId="169" fontId="119" fillId="0" borderId="0" xfId="0" applyFont="1" applyBorder="1" applyAlignment="1">
      <alignment horizontal="center" vertical="center" wrapText="1"/>
    </xf>
    <xf numFmtId="169" fontId="119" fillId="0" borderId="0" xfId="0" applyFont="1" applyBorder="1" applyAlignment="1">
      <alignment horizontal="center" vertical="center"/>
    </xf>
    <xf numFmtId="169" fontId="119" fillId="0" borderId="0" xfId="0" applyFont="1" applyBorder="1" applyAlignment="1">
      <alignment horizontal="center" vertical="top" wrapText="1"/>
    </xf>
    <xf numFmtId="0" fontId="118" fillId="0" borderId="0" xfId="59" applyFont="1" applyBorder="1" applyAlignment="1">
      <alignment horizontal="left" vertical="top" wrapText="1"/>
    </xf>
    <xf numFmtId="169" fontId="26" fillId="4" borderId="1" xfId="0" applyFont="1" applyFill="1" applyBorder="1" applyAlignment="1">
      <alignment horizontal="left" vertical="top" wrapText="1"/>
    </xf>
    <xf numFmtId="0" fontId="118" fillId="4" borderId="1" xfId="0" applyNumberFormat="1" applyFont="1" applyFill="1" applyBorder="1" applyAlignment="1">
      <alignment horizontal="center"/>
    </xf>
    <xf numFmtId="0" fontId="117" fillId="4" borderId="1" xfId="0" quotePrefix="1" applyNumberFormat="1" applyFont="1" applyFill="1" applyBorder="1" applyAlignment="1">
      <alignment horizontal="center" vertical="top" wrapText="1"/>
    </xf>
    <xf numFmtId="2" fontId="117" fillId="4" borderId="1" xfId="0" applyNumberFormat="1" applyFont="1" applyFill="1" applyBorder="1" applyAlignment="1">
      <alignment horizontal="left" vertical="top" wrapText="1"/>
    </xf>
    <xf numFmtId="0" fontId="117" fillId="4" borderId="1" xfId="0" applyNumberFormat="1" applyFont="1" applyFill="1" applyBorder="1" applyAlignment="1">
      <alignment horizontal="left" vertical="top" wrapText="1"/>
    </xf>
    <xf numFmtId="2" fontId="117" fillId="4" borderId="1" xfId="0" quotePrefix="1" applyNumberFormat="1" applyFont="1" applyFill="1" applyBorder="1" applyAlignment="1">
      <alignment horizontal="center" vertical="top"/>
    </xf>
    <xf numFmtId="0" fontId="117" fillId="4" borderId="1" xfId="0" quotePrefix="1" applyNumberFormat="1" applyFont="1" applyFill="1" applyBorder="1" applyAlignment="1">
      <alignment horizontal="center" vertical="top"/>
    </xf>
    <xf numFmtId="2" fontId="117" fillId="4" borderId="1" xfId="0" quotePrefix="1" applyNumberFormat="1" applyFont="1" applyFill="1" applyBorder="1" applyAlignment="1">
      <alignment horizontal="center" vertical="top" wrapText="1"/>
    </xf>
    <xf numFmtId="2" fontId="117" fillId="4" borderId="1" xfId="0" applyNumberFormat="1" applyFont="1" applyFill="1" applyBorder="1" applyAlignment="1">
      <alignment horizontal="center" vertical="top" wrapText="1"/>
    </xf>
    <xf numFmtId="0" fontId="117" fillId="4" borderId="1" xfId="0" applyNumberFormat="1" applyFont="1" applyFill="1" applyBorder="1" applyAlignment="1">
      <alignment horizontal="center" vertical="top" wrapText="1"/>
    </xf>
    <xf numFmtId="2" fontId="117" fillId="4" borderId="1" xfId="0" applyNumberFormat="1" applyFont="1" applyFill="1" applyBorder="1" applyAlignment="1">
      <alignment horizontal="center" vertical="top"/>
    </xf>
    <xf numFmtId="0" fontId="117" fillId="4" borderId="1" xfId="0" applyNumberFormat="1" applyFont="1" applyFill="1" applyBorder="1" applyAlignment="1">
      <alignment horizontal="center" vertical="top"/>
    </xf>
    <xf numFmtId="169" fontId="122" fillId="4" borderId="1" xfId="0" applyFont="1" applyFill="1" applyBorder="1" applyAlignment="1">
      <alignment horizontal="center"/>
    </xf>
    <xf numFmtId="169" fontId="123" fillId="4" borderId="1" xfId="0" applyFont="1" applyFill="1" applyBorder="1" applyAlignment="1">
      <alignment horizontal="center" vertical="center" wrapText="1"/>
    </xf>
    <xf numFmtId="0" fontId="25" fillId="4" borderId="1" xfId="59" applyFont="1" applyFill="1" applyBorder="1" applyAlignment="1">
      <alignment horizontal="left" vertical="top" wrapText="1"/>
    </xf>
    <xf numFmtId="0" fontId="124" fillId="4" borderId="1" xfId="0" applyNumberFormat="1" applyFont="1" applyFill="1" applyBorder="1" applyAlignment="1">
      <alignment horizontal="center"/>
    </xf>
    <xf numFmtId="0" fontId="26" fillId="4" borderId="1" xfId="0" applyNumberFormat="1" applyFont="1" applyFill="1" applyBorder="1" applyAlignment="1">
      <alignment horizontal="center"/>
    </xf>
    <xf numFmtId="169" fontId="26" fillId="4" borderId="1" xfId="0" applyFont="1" applyFill="1" applyBorder="1" applyAlignment="1">
      <alignment horizontal="left" vertical="center" wrapText="1"/>
    </xf>
    <xf numFmtId="16" fontId="117" fillId="4" borderId="1" xfId="0" applyNumberFormat="1" applyFont="1" applyFill="1" applyBorder="1" applyAlignment="1">
      <alignment horizontal="left" vertical="top" wrapText="1"/>
    </xf>
    <xf numFmtId="0" fontId="118" fillId="4" borderId="1" xfId="0" applyNumberFormat="1" applyFont="1" applyFill="1" applyBorder="1" applyAlignment="1">
      <alignment horizontal="left"/>
    </xf>
    <xf numFmtId="2" fontId="118" fillId="4" borderId="1" xfId="0" applyNumberFormat="1" applyFont="1" applyFill="1" applyBorder="1" applyAlignment="1">
      <alignment horizontal="left" vertical="top" wrapText="1"/>
    </xf>
    <xf numFmtId="169" fontId="117" fillId="4" borderId="1" xfId="0" quotePrefix="1" applyNumberFormat="1" applyFont="1" applyFill="1" applyBorder="1" applyAlignment="1">
      <alignment horizontal="center" vertical="top" wrapText="1"/>
    </xf>
    <xf numFmtId="169" fontId="26" fillId="4" borderId="17" xfId="0" applyFont="1" applyFill="1" applyBorder="1" applyAlignment="1">
      <alignment horizontal="left" wrapText="1"/>
    </xf>
    <xf numFmtId="169" fontId="26" fillId="4" borderId="18" xfId="0" applyFont="1" applyFill="1" applyBorder="1" applyAlignment="1">
      <alignment horizontal="left" wrapText="1"/>
    </xf>
    <xf numFmtId="169" fontId="26" fillId="4" borderId="19" xfId="0" applyFont="1" applyFill="1" applyBorder="1" applyAlignment="1">
      <alignment horizontal="left" wrapText="1"/>
    </xf>
    <xf numFmtId="169" fontId="26" fillId="4" borderId="17" xfId="0" applyFont="1" applyFill="1" applyBorder="1" applyAlignment="1">
      <alignment horizontal="left" vertical="center" wrapText="1"/>
    </xf>
    <xf numFmtId="169" fontId="26" fillId="4" borderId="18" xfId="0" applyFont="1" applyFill="1" applyBorder="1" applyAlignment="1">
      <alignment horizontal="left" vertical="center" wrapText="1"/>
    </xf>
    <xf numFmtId="169" fontId="26" fillId="4" borderId="19" xfId="0" applyFont="1" applyFill="1" applyBorder="1" applyAlignment="1">
      <alignment horizontal="left" vertical="center" wrapText="1"/>
    </xf>
    <xf numFmtId="169" fontId="117" fillId="4" borderId="0" xfId="0" applyFont="1" applyFill="1" applyBorder="1" applyAlignment="1">
      <alignment horizontal="center"/>
    </xf>
    <xf numFmtId="169" fontId="26" fillId="4" borderId="1" xfId="0" applyFont="1" applyFill="1" applyBorder="1" applyAlignment="1">
      <alignment horizontal="left" wrapText="1"/>
    </xf>
    <xf numFmtId="169" fontId="60" fillId="0" borderId="0" xfId="0" applyFont="1" applyAlignment="1">
      <alignment horizontal="center"/>
    </xf>
  </cellXfs>
  <cellStyles count="6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xfId="50"/>
    <cellStyle name="Normal 11 2" xfId="11"/>
    <cellStyle name="Normal 12" xfId="51"/>
    <cellStyle name="Normal 13" xfId="12"/>
    <cellStyle name="Normal 15 5" xfId="13"/>
    <cellStyle name="Normal 17" xfId="52"/>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2 6" xfId="57"/>
    <cellStyle name="Normal 2 7 3" xfId="53"/>
    <cellStyle name="Normal 3" xfId="22"/>
    <cellStyle name="Normal 3 2" xfId="23"/>
    <cellStyle name="Normal 3 2 2" xfId="24"/>
    <cellStyle name="Normal 3 2 2 2 4" xfId="25"/>
    <cellStyle name="Normal 3 4" xfId="26"/>
    <cellStyle name="Normal 4" xfId="27"/>
    <cellStyle name="Normal 4 2" xfId="54"/>
    <cellStyle name="Normal 4 2 2" xfId="55"/>
    <cellStyle name="Normal 5" xfId="28"/>
    <cellStyle name="Normal 5 2" xfId="29"/>
    <cellStyle name="Normal 5 3" xfId="30"/>
    <cellStyle name="Normal 5 4" xfId="31"/>
    <cellStyle name="Normal 5 5" xfId="32"/>
    <cellStyle name="Normal 6" xfId="33"/>
    <cellStyle name="Normal 6 2" xfId="56"/>
    <cellStyle name="Normal 7" xfId="34"/>
    <cellStyle name="Normal 7 2" xfId="35"/>
    <cellStyle name="Normal 8" xfId="36"/>
    <cellStyle name="Normal 8 2" xfId="37"/>
    <cellStyle name="Normal 9" xfId="58"/>
    <cellStyle name="Normal_Alandur Detail 2" xfId="38"/>
    <cellStyle name="Normal_June-2004 2" xfId="39"/>
    <cellStyle name="Normal_Phase XI QS" xfId="40"/>
    <cellStyle name="Normal_Phase XI QS 2" xfId="41"/>
    <cellStyle name="Normal_Phase XI QS 3" xfId="42"/>
    <cellStyle name="Normal_Phase XI QS 4" xfId="59"/>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7794</xdr:row>
      <xdr:rowOff>190500</xdr:rowOff>
    </xdr:from>
    <xdr:to>
      <xdr:col>14</xdr:col>
      <xdr:colOff>500253</xdr:colOff>
      <xdr:row>7794</xdr:row>
      <xdr:rowOff>193929</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500253</xdr:colOff>
      <xdr:row>7793</xdr:row>
      <xdr:rowOff>193929</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7794</xdr:row>
      <xdr:rowOff>190500</xdr:rowOff>
    </xdr:from>
    <xdr:to>
      <xdr:col>14</xdr:col>
      <xdr:colOff>509778</xdr:colOff>
      <xdr:row>7794</xdr:row>
      <xdr:rowOff>193929</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509778</xdr:colOff>
      <xdr:row>7793</xdr:row>
      <xdr:rowOff>193929</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2551938</xdr:colOff>
      <xdr:row>0</xdr:row>
      <xdr:rowOff>32385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48125" y="0"/>
          <a:ext cx="46863" cy="32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ETPET%20PS%20SR%20wor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handrampattu%20PS%20SR%20WORK%202022-202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pecial%20Repair%20works/Special%20Repair%20Works%20to%20Puduppalayam%20Police%20Stat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galam"/>
      <sheetName val="Cheyyar Police station"/>
      <sheetName val="Cheyyar PS"/>
      <sheetName val="Mangalam Detail estimate"/>
      <sheetName val="Vandavasi Police Qtrs"/>
      <sheetName val="Vandavasi PQ Details"/>
      <sheetName val="AR Police Qtrs"/>
      <sheetName val="AR Police Qtrs Details"/>
      <sheetName val="Dog kennel"/>
      <sheetName val="Dog kannel"/>
      <sheetName val="Polur DSP abstract"/>
      <sheetName val="Polur DSP Qtrs Detailed"/>
      <sheetName val="Kalasapakkam"/>
      <sheetName val="Sheet4"/>
      <sheetName val="Kalasapakkam ABstract"/>
      <sheetName val="Ph XIII AR"/>
      <sheetName val="Ph XIII AR abstract"/>
      <sheetName val="Chengam PS &amp; PQ"/>
      <sheetName val="Chamgam Abstract"/>
      <sheetName val="Puduppalayam"/>
      <sheetName val="Puduppalayam Abstract"/>
      <sheetName val="Polur Circle inspector details"/>
      <sheetName val="Polur Circle Inspector Abstract"/>
      <sheetName val="Chetpet"/>
      <sheetName val="Chetpet Abstract"/>
      <sheetName val="Thampattu"/>
      <sheetName val="Thchampattu Abstruct"/>
      <sheetName val="VV Bodi "/>
      <sheetName val="Vadavanakkambadi Abstract"/>
      <sheetName val="Veraiyur"/>
      <sheetName val="Veraiyur Abstract"/>
      <sheetName val="Thandrampattu"/>
      <sheetName val="Thandrampattu Abstruct"/>
      <sheetName val="Thanipadi Abstruct"/>
      <sheetName val="Thanipadi"/>
      <sheetName val="Thellar"/>
      <sheetName val="Thellar details"/>
      <sheetName val="Arni Taluk abstract"/>
      <sheetName val="Arni Taluk details"/>
      <sheetName val="Sandavasal details"/>
      <sheetName val="Sandavasal Abstract"/>
      <sheetName val="KIlpenathur Details"/>
      <sheetName val="Kilpennathur Abstrac"/>
      <sheetName val="Thandrampattu details"/>
      <sheetName val="Thandrampattu Abstract"/>
      <sheetName val="Chetpet Data"/>
      <sheetName val="Chetpet Abstract (2)"/>
      <sheetName val="Chetpet (2)"/>
      <sheetName val="Sheet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3">
          <cell r="B23" t="str">
            <v>Weathering Course with concrete broken brick jelly 20mm gauge in pure burnt stone lime slaked and screened (No Sand) over RCC Roof Slab with proportion of brick jelly to lime (fat lime) being 32: 12 1/2 by volume well beaten with wooden beaters for giving</v>
          </cell>
        </row>
        <row r="31">
          <cell r="H31">
            <v>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10">
          <cell r="C10" t="str">
            <v>Supplying, laying, fixing and jointing the following PVC pipes as per ASTM D - 1785 of schedule 40 of wall thickness not less than the specified in IS 4985 suitable for plumbing by threading of wall thickness including the cost of suitable PVC/GI specials</v>
          </cell>
        </row>
        <row r="11">
          <cell r="C11" t="str">
            <v>a) 32mm ASTM D schedule 40 threaded PVC pipe with necessary PVC/GI specials</v>
          </cell>
        </row>
        <row r="12">
          <cell r="C12" t="str">
            <v>b) 25mm ASTM D schedule 40 threaded PVC pipe with necessary PVC/GI specials</v>
          </cell>
        </row>
        <row r="13">
          <cell r="C13" t="str">
            <v>c) 20mm ASTM D schedule 40 threaded PVC pipe with necessary PVC/GI specials</v>
          </cell>
        </row>
        <row r="18">
          <cell r="C18" t="str">
            <v>Supplying and fixing of PVC doors of required overall size (single leaf) with PVC door frame and PVC shutter (superior variety). The doorframe of 60mm thick made out of superior quality polymeric material confirming to IS: 10151-1982. The doorframe is mad</v>
          </cell>
        </row>
        <row r="20">
          <cell r="C20" t="str">
            <v xml:space="preserve">Supplying and fixing of colour Ceramic Tiles Anti skid without corrugated design for flooring and other similar works (Best approved quality,  colour and shade shall be got approved from the Executive Engineer before using) over cement mortor 1:3 (One of </v>
          </cell>
        </row>
        <row r="21">
          <cell r="C21" t="str">
            <v>Supplying and fixing of Colour glazed tiles (Best approved quality and the same shall be got approved from the Executive Engineer before using) over cement plastering in CM 1:2 (One of cement and two of sand) 10mm thick including fixing in position, cutti</v>
          </cell>
        </row>
        <row r="22">
          <cell r="C22" t="str">
            <v>Plastering with cm 1:5 (One of cement and five of sand) 12mm thick finished with neat cement including providing band cornice, ceiling cornice, curing, scaffolding, etc., complete in all respects and complying with relevant standard specifications.</v>
          </cell>
        </row>
        <row r="25">
          <cell r="C25" t="str">
            <v>Finishing top of roof with one course of Hydraulic Pressed Tiles of approved superior quality of size 23cmx 23cmx20mm thick laid over weathering course in cm 1:3 (One of cement and three of sand) 12mm thick mixed with Water proofing compound at 2% by weig</v>
          </cell>
        </row>
        <row r="34">
          <cell r="C34" t="str">
            <v>Wiring with 1.5 sqmm PVC insulated single core multi strand fire retardant flexible copper cable with ISI mark conforming to IS: 694/1990, 1.1 K.V. grade cable with continuous earth by means of 1.5 sqmm PVC insulated single core multi strand fire retardan</v>
          </cell>
        </row>
        <row r="35">
          <cell r="C35" t="str">
            <v>a.) Light point with ceiling rose</v>
          </cell>
        </row>
        <row r="36">
          <cell r="C36" t="str">
            <v xml:space="preserve">b.) Light point without ceiling rose </v>
          </cell>
        </row>
        <row r="42">
          <cell r="C42" t="str">
            <v>Supply and delivery of following Electric Ceiling fan with ISI mark with blades and double ball bearing, capacitor, etc., complete with 300mm down rod, canopies, capacitor, shackle blades with dimmer electronic regulator suitable for operation on 230 volt</v>
          </cell>
        </row>
        <row r="43">
          <cell r="C43" t="str">
            <v>Charges for assembling and fixing of ceiling fan of different sweep with necessary connections and fixing of fan regulator on the existing board etc., all complete (Excluding cost of fan)</v>
          </cell>
        </row>
        <row r="45">
          <cell r="C45" t="str">
            <v xml:space="preserve">Supplying and fixing of 4mm thick pin headed Glass panels with aluminium anodised ‘U’ shape beeding of size 12x12mm with 107 gram in average weight for 1m length with aluminium bolts and nuts for the shutters of the steel windows already supplied to suit </v>
          </cell>
        </row>
        <row r="46">
          <cell r="C46" t="str">
            <v xml:space="preserve">supplying and fixing  of half turn C.P Long body tap of best quality including cost of fittings with required specials, bends, labour for fixing etc., all complete and as directed by the departmental officers. (Quality and brand of fittings should be got </v>
          </cell>
        </row>
        <row r="55">
          <cell r="C55" t="str">
            <v>supplying and fixing  of half turn C.P short body tap of best quality including cost of fittings with required specials, bends, labour for fixing etc., all complete and as directed by the departmental officers. (Quality and brand of fittings should be got</v>
          </cell>
        </row>
        <row r="67">
          <cell r="C67" t="str">
            <v>Painting the old wood work with one coat of approved first class synthetic enamel ready mixed paint.</v>
          </cell>
        </row>
        <row r="68">
          <cell r="C68" t="str">
            <v>Painting the old iron work with one coat of approved first class synthetic enamel ready mixed paint.</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e data ( M30 grade) (2)"/>
      <sheetName val="Abstract "/>
      <sheetName val="G. Abstract"/>
      <sheetName val="building"/>
      <sheetName val="pile data "/>
      <sheetName val="  Coastal  Elec.Data "/>
      <sheetName val="Chart1"/>
      <sheetName val="lead  charge"/>
      <sheetName val="Elec.Data"/>
      <sheetName val="Data"/>
      <sheetName val="Sliding and french window"/>
      <sheetName val="Sheet1"/>
      <sheetName val="B.D .Abstract"/>
      <sheetName val="Chetpet"/>
      <sheetName val="Chetpet Abstract"/>
      <sheetName val="B.D details"/>
      <sheetName val="Thandrampattu"/>
      <sheetName val="Thandrampattu Abstr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22">
          <cell r="B22" t="str">
            <v>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v>
          </cell>
        </row>
      </sheetData>
      <sheetData sheetId="17" refreshError="1">
        <row r="15">
          <cell r="C15" t="str">
            <v>Supplying and fixing of VERTIFIEDTiles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charge"/>
      <sheetName val="Elec.Data"/>
      <sheetName val="Data"/>
      <sheetName val="G. Abstract"/>
      <sheetName val="Abstract"/>
      <sheetName val="Bldg+Dev"/>
      <sheetName val="Detail"/>
      <sheetName val="DUSI"/>
      <sheetName val="Vandavasi DSP"/>
      <sheetName val="Desur"/>
      <sheetName val="Mangalam"/>
      <sheetName val="Sheet1"/>
      <sheetName val="Sheet2"/>
      <sheetName val="Arni"/>
      <sheetName val="Vandavasi AWPS"/>
      <sheetName val="Cheyyar Police station"/>
      <sheetName val="Vandavasi Police Qtrs"/>
      <sheetName val="Brammadesam"/>
      <sheetName val="Gandhi Nagar"/>
      <sheetName val="SP camp office"/>
      <sheetName val="M.Vinayagar"/>
      <sheetName val="AR Police Qtrs"/>
      <sheetName val="AR Complex"/>
      <sheetName val="DPO"/>
      <sheetName val="Gandhinagar Details Qtrs"/>
      <sheetName val="Dog kennel"/>
      <sheetName val="AR Police Qtrs Details"/>
      <sheetName val="Mangalam Detail estimate"/>
      <sheetName val="Arni Qtrs"/>
      <sheetName val="Desur 1"/>
      <sheetName val="Dusi detail"/>
      <sheetName val="Vandavasi DSP Qtrs Detailed"/>
      <sheetName val="Vandavasi AWPS detailed"/>
      <sheetName val="M. Vinayagar detail"/>
      <sheetName val="AR Complex detail"/>
      <sheetName val="DPO Detail"/>
      <sheetName val="Vandavasi PQ Details"/>
      <sheetName val="ARNI Details"/>
      <sheetName val="Cheyyar PS"/>
      <sheetName val="Brammadesam details"/>
      <sheetName val="Dog kannel"/>
      <sheetName val="SP Camp Office detail"/>
      <sheetName val="Sheet3"/>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964" t="s">
        <v>3985</v>
      </c>
      <c r="B1" s="964"/>
      <c r="C1" s="964"/>
      <c r="D1" s="964"/>
      <c r="E1" s="964"/>
      <c r="F1" s="964"/>
    </row>
    <row r="2" spans="1:7" ht="17.25" customHeight="1">
      <c r="A2" s="964" t="s">
        <v>3984</v>
      </c>
      <c r="B2" s="964"/>
      <c r="C2" s="964"/>
      <c r="D2" s="964"/>
      <c r="E2" s="964"/>
      <c r="F2" s="964"/>
    </row>
    <row r="3" spans="1:7" ht="31.5" customHeight="1">
      <c r="A3" s="965" t="s">
        <v>4140</v>
      </c>
      <c r="B3" s="965"/>
      <c r="C3" s="965"/>
      <c r="D3" s="965"/>
      <c r="E3" s="965"/>
      <c r="F3" s="965"/>
    </row>
    <row r="4" spans="1:7" ht="17.25">
      <c r="A4" s="966" t="s">
        <v>4627</v>
      </c>
      <c r="B4" s="966"/>
      <c r="C4" s="966"/>
      <c r="D4" s="966"/>
      <c r="E4" s="966"/>
      <c r="F4" s="66"/>
    </row>
    <row r="5" spans="1:7" ht="6" customHeight="1">
      <c r="A5" s="66"/>
      <c r="B5" s="66"/>
      <c r="C5" s="66"/>
      <c r="D5" s="66"/>
      <c r="E5" s="66"/>
      <c r="F5" s="66"/>
    </row>
    <row r="6" spans="1:7" ht="45.75" customHeight="1">
      <c r="B6" s="84"/>
      <c r="C6" s="967" t="s">
        <v>4629</v>
      </c>
      <c r="D6" s="967"/>
      <c r="E6" s="967"/>
      <c r="F6" s="84"/>
      <c r="G6" s="2" t="s">
        <v>2151</v>
      </c>
    </row>
    <row r="7" spans="1:7" ht="24" customHeight="1">
      <c r="A7" s="83"/>
      <c r="B7" s="960" t="s">
        <v>4628</v>
      </c>
      <c r="C7" s="960"/>
      <c r="D7" s="960"/>
      <c r="E7" s="960"/>
      <c r="F7" s="960"/>
      <c r="G7" s="5">
        <f>ROUND(3.14*0.75*0.75*8/4,2)</f>
        <v>3.53</v>
      </c>
    </row>
    <row r="8" spans="1:7" ht="28.5" customHeight="1">
      <c r="A8" s="75"/>
      <c r="B8" s="75"/>
      <c r="C8" s="82" t="s">
        <v>3982</v>
      </c>
      <c r="D8" s="75"/>
      <c r="E8" s="75"/>
      <c r="F8" s="75"/>
    </row>
    <row r="9" spans="1:7" ht="30.75" customHeight="1">
      <c r="A9" s="77">
        <f>G7</f>
        <v>3.53</v>
      </c>
      <c r="B9" s="75" t="s">
        <v>2151</v>
      </c>
      <c r="C9" s="75" t="s">
        <v>4012</v>
      </c>
      <c r="D9" s="66"/>
      <c r="E9" s="76">
        <f>Data!Y689</f>
        <v>8433.1</v>
      </c>
      <c r="F9" s="76">
        <f>A9*E9</f>
        <v>29768.84</v>
      </c>
    </row>
    <row r="10" spans="1:7" ht="30.75" customHeight="1">
      <c r="A10" s="81">
        <f>A9*10/100</f>
        <v>0.35299999999999998</v>
      </c>
      <c r="B10" s="75" t="s">
        <v>528</v>
      </c>
      <c r="C10" s="75" t="s">
        <v>5641</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39584.49</v>
      </c>
    </row>
    <row r="14" spans="1:7" ht="21" customHeight="1">
      <c r="A14" s="75"/>
      <c r="B14" s="75"/>
      <c r="C14" s="75" t="s">
        <v>1639</v>
      </c>
      <c r="D14" s="66"/>
      <c r="E14" s="75"/>
      <c r="F14" s="76">
        <f>F13/8</f>
        <v>4948.0600000000004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5073.0600000000004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961" t="s">
        <v>3976</v>
      </c>
      <c r="D21" s="961"/>
      <c r="E21" s="961"/>
      <c r="F21" s="80"/>
    </row>
    <row r="22" spans="1:13" ht="30.75" customHeight="1">
      <c r="A22" s="79"/>
      <c r="B22" s="960" t="s">
        <v>3975</v>
      </c>
      <c r="C22" s="960"/>
      <c r="D22" s="960"/>
      <c r="E22" s="960"/>
      <c r="F22" s="960"/>
      <c r="G22" s="5">
        <v>0.19600000000000001</v>
      </c>
    </row>
    <row r="23" spans="1:13" ht="30.75" customHeight="1">
      <c r="A23" s="75"/>
      <c r="B23" s="75"/>
      <c r="C23" s="78" t="s">
        <v>3974</v>
      </c>
      <c r="D23" s="75"/>
      <c r="E23" s="75"/>
      <c r="F23" s="75"/>
    </row>
    <row r="24" spans="1:13" ht="30.75" customHeight="1">
      <c r="A24" s="77">
        <f>G22</f>
        <v>0.19600000000000001</v>
      </c>
      <c r="B24" s="75" t="s">
        <v>2151</v>
      </c>
      <c r="C24" s="75" t="s">
        <v>5936</v>
      </c>
      <c r="D24" s="66"/>
      <c r="E24" s="76">
        <f>Data!AE63</f>
        <v>6380</v>
      </c>
      <c r="F24" s="76">
        <f>A24*E24</f>
        <v>1250.48</v>
      </c>
    </row>
    <row r="25" spans="1:13" ht="42.75" customHeight="1">
      <c r="A25" s="77">
        <f>+A24</f>
        <v>0.19600000000000001</v>
      </c>
      <c r="B25" s="75" t="s">
        <v>2151</v>
      </c>
      <c r="C25" s="962" t="s">
        <v>5937</v>
      </c>
      <c r="D25" s="962"/>
      <c r="E25" s="76">
        <f>Data!AE64*3</f>
        <v>34.35</v>
      </c>
      <c r="F25" s="76">
        <f>E25*A25</f>
        <v>6.73</v>
      </c>
      <c r="I25">
        <f>8.69*0.125</f>
        <v>1.0900000000000001</v>
      </c>
    </row>
    <row r="26" spans="1:13" ht="36" customHeight="1">
      <c r="A26" s="77">
        <f>+A25</f>
        <v>0.19600000000000001</v>
      </c>
      <c r="B26" s="75" t="s">
        <v>2151</v>
      </c>
      <c r="C26" s="75" t="s">
        <v>4307</v>
      </c>
      <c r="D26" s="66"/>
      <c r="E26" s="76">
        <f>Data!AE65</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963" t="s">
        <v>3971</v>
      </c>
      <c r="D30" s="963"/>
      <c r="E30" s="963"/>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4308</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3991</v>
      </c>
    </row>
    <row r="41" spans="1:10" ht="24" customHeight="1">
      <c r="A41" s="5">
        <v>5</v>
      </c>
      <c r="B41" t="s">
        <v>1341</v>
      </c>
      <c r="C41" t="s">
        <v>3999</v>
      </c>
      <c r="D41">
        <f>Data!V676</f>
        <v>1582.2</v>
      </c>
      <c r="F41">
        <f>D41*A41</f>
        <v>7911</v>
      </c>
    </row>
    <row r="42" spans="1:10" ht="24" customHeight="1">
      <c r="A42" s="5">
        <v>3.3</v>
      </c>
      <c r="B42" t="s">
        <v>1341</v>
      </c>
      <c r="C42" t="s">
        <v>4000</v>
      </c>
      <c r="D42">
        <f>Data!V677</f>
        <v>1292.2</v>
      </c>
      <c r="F42">
        <f t="shared" ref="F42:F48" si="0">D42*A42</f>
        <v>4264.26</v>
      </c>
    </row>
    <row r="43" spans="1:10" ht="24" customHeight="1">
      <c r="A43" s="5">
        <v>4.79</v>
      </c>
      <c r="B43" t="s">
        <v>1341</v>
      </c>
      <c r="C43" t="s">
        <v>4001</v>
      </c>
      <c r="D43">
        <f>Data!V678</f>
        <v>2074.06</v>
      </c>
      <c r="F43">
        <f t="shared" si="0"/>
        <v>9934.75</v>
      </c>
    </row>
    <row r="44" spans="1:10" ht="24" customHeight="1">
      <c r="A44" s="5">
        <v>4</v>
      </c>
      <c r="B44" t="s">
        <v>528</v>
      </c>
      <c r="C44" t="s">
        <v>390</v>
      </c>
      <c r="D44">
        <f>Data!V679</f>
        <v>6040</v>
      </c>
      <c r="F44">
        <f t="shared" si="0"/>
        <v>24160</v>
      </c>
    </row>
    <row r="45" spans="1:10" ht="24" customHeight="1">
      <c r="A45" s="5">
        <v>40</v>
      </c>
      <c r="B45" t="s">
        <v>1645</v>
      </c>
      <c r="C45" t="s">
        <v>4008</v>
      </c>
      <c r="D45">
        <f>Data!V680</f>
        <v>43.2</v>
      </c>
      <c r="F45">
        <f t="shared" si="0"/>
        <v>1728</v>
      </c>
    </row>
    <row r="46" spans="1:10" ht="24" customHeight="1">
      <c r="A46" s="5">
        <v>3.5</v>
      </c>
      <c r="B46" t="s">
        <v>1432</v>
      </c>
      <c r="C46" t="s">
        <v>465</v>
      </c>
      <c r="D46">
        <f>Data!V681</f>
        <v>932</v>
      </c>
      <c r="F46">
        <f>D46*A46</f>
        <v>3262</v>
      </c>
    </row>
    <row r="47" spans="1:10" ht="24" customHeight="1">
      <c r="A47" s="5">
        <v>21.2</v>
      </c>
      <c r="B47" t="s">
        <v>1432</v>
      </c>
      <c r="C47" t="s">
        <v>3463</v>
      </c>
      <c r="D47">
        <f>Data!V682</f>
        <v>651</v>
      </c>
      <c r="F47">
        <f t="shared" si="0"/>
        <v>13801.2</v>
      </c>
    </row>
    <row r="48" spans="1:10" ht="24" customHeight="1">
      <c r="A48" s="5">
        <v>35.299999999999997</v>
      </c>
      <c r="B48" t="s">
        <v>1432</v>
      </c>
      <c r="C48" t="s">
        <v>3464</v>
      </c>
      <c r="D48">
        <f>Data!V683</f>
        <v>534</v>
      </c>
      <c r="F48">
        <f t="shared" si="0"/>
        <v>18850.2</v>
      </c>
    </row>
    <row r="49" spans="1:8" ht="24" customHeight="1">
      <c r="A49" s="5"/>
      <c r="C49" s="11" t="s">
        <v>4003</v>
      </c>
      <c r="D49">
        <f>Data!V684</f>
        <v>0</v>
      </c>
      <c r="F49" s="11">
        <f>SUM(F41:F48)</f>
        <v>83911.41</v>
      </c>
    </row>
    <row r="50" spans="1:8" ht="24" customHeight="1">
      <c r="A50" s="5"/>
      <c r="C50" s="11" t="s">
        <v>4004</v>
      </c>
      <c r="D50">
        <f>Data!V685</f>
        <v>0</v>
      </c>
      <c r="F50" s="11">
        <f>F49/10</f>
        <v>8391.14</v>
      </c>
      <c r="G50">
        <f>F50</f>
        <v>8391.14</v>
      </c>
    </row>
    <row r="51" spans="1:8" ht="24" customHeight="1">
      <c r="A51" s="5">
        <v>1</v>
      </c>
      <c r="B51" t="s">
        <v>1341</v>
      </c>
      <c r="C51" t="s">
        <v>3465</v>
      </c>
      <c r="D51">
        <f>Data!V686</f>
        <v>94.2</v>
      </c>
      <c r="F51">
        <f>D51</f>
        <v>94.2</v>
      </c>
    </row>
    <row r="52" spans="1:8" ht="24" customHeight="1">
      <c r="A52" s="5"/>
      <c r="C52" t="s">
        <v>4005</v>
      </c>
      <c r="F52" s="11">
        <f>SUM(F50:F51)</f>
        <v>8485.34</v>
      </c>
      <c r="G52">
        <f>SUM(G50:G51)</f>
        <v>8391.14</v>
      </c>
    </row>
    <row r="53" spans="1:8">
      <c r="A53" s="46" t="s">
        <v>657</v>
      </c>
      <c r="C53" t="s">
        <v>4006</v>
      </c>
      <c r="D53" s="46" t="s">
        <v>657</v>
      </c>
      <c r="F53">
        <f>F52*0.5%</f>
        <v>42.43</v>
      </c>
      <c r="G53">
        <f>G52*0.5/100</f>
        <v>41.96</v>
      </c>
    </row>
    <row r="54" spans="1:8" ht="47.25">
      <c r="A54" s="5"/>
      <c r="C54" s="11" t="s">
        <v>3588</v>
      </c>
      <c r="E54" s="1"/>
      <c r="F54" s="11">
        <f>SUM(F52:F53)</f>
        <v>8527.77</v>
      </c>
      <c r="G54" s="11">
        <f>SUM(G52:G53)</f>
        <v>8433.1</v>
      </c>
      <c r="H54" s="37" t="s">
        <v>4016</v>
      </c>
    </row>
    <row r="55" spans="1:8">
      <c r="A55" s="5"/>
      <c r="E55" s="1"/>
      <c r="F55" s="3" t="s">
        <v>1586</v>
      </c>
    </row>
    <row r="56" spans="1:8">
      <c r="A56" s="5"/>
      <c r="C56" s="1" t="s">
        <v>386</v>
      </c>
      <c r="E56" s="1"/>
      <c r="F56" s="11">
        <f>F54+Data!C23</f>
        <v>8763.8700000000008</v>
      </c>
    </row>
    <row r="57" spans="1:8">
      <c r="A57" s="5"/>
      <c r="C57" s="1" t="s">
        <v>388</v>
      </c>
      <c r="E57" s="1"/>
      <c r="F57" s="93"/>
    </row>
    <row r="58" spans="1:8">
      <c r="A58" s="5"/>
      <c r="C58" s="1" t="s">
        <v>2232</v>
      </c>
      <c r="E58" s="1"/>
      <c r="F58" s="11">
        <f>F56+Data!C25</f>
        <v>8858.07</v>
      </c>
    </row>
    <row r="59" spans="1:8">
      <c r="A59" s="5"/>
      <c r="C59" s="1" t="s">
        <v>380</v>
      </c>
      <c r="E59" s="1"/>
      <c r="F59" s="11"/>
    </row>
    <row r="60" spans="1:8">
      <c r="A60" s="5"/>
      <c r="C60" s="1" t="s">
        <v>1532</v>
      </c>
      <c r="E60" s="1"/>
      <c r="F60" s="11">
        <f>F58+Data!C27</f>
        <v>8892.27</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964" t="s">
        <v>3985</v>
      </c>
      <c r="B65" s="964"/>
      <c r="C65" s="964"/>
      <c r="D65" s="964"/>
      <c r="E65" s="964"/>
      <c r="F65" s="964"/>
    </row>
    <row r="66" spans="1:7" ht="17.25">
      <c r="A66" s="964" t="s">
        <v>3984</v>
      </c>
      <c r="B66" s="964"/>
      <c r="C66" s="964"/>
      <c r="D66" s="964"/>
      <c r="E66" s="964"/>
      <c r="F66" s="964"/>
    </row>
    <row r="67" spans="1:7" ht="17.25">
      <c r="A67" s="965" t="s">
        <v>4140</v>
      </c>
      <c r="B67" s="965"/>
      <c r="C67" s="965"/>
      <c r="D67" s="965"/>
      <c r="E67" s="965"/>
      <c r="F67" s="965"/>
    </row>
    <row r="68" spans="1:7" ht="17.25">
      <c r="A68" s="966" t="s">
        <v>3983</v>
      </c>
      <c r="B68" s="966"/>
      <c r="C68" s="966"/>
      <c r="D68" s="966"/>
      <c r="E68" s="966"/>
      <c r="F68" s="66"/>
    </row>
    <row r="69" spans="1:7" ht="17.25">
      <c r="A69" s="66"/>
      <c r="B69" s="66"/>
      <c r="C69" s="66"/>
      <c r="D69" s="66"/>
      <c r="E69" s="66"/>
      <c r="F69" s="66"/>
    </row>
    <row r="70" spans="1:7" ht="19.5">
      <c r="B70" s="84"/>
      <c r="C70" s="967" t="s">
        <v>4141</v>
      </c>
      <c r="D70" s="967"/>
      <c r="E70" s="967"/>
      <c r="F70" s="84"/>
      <c r="G70" s="2" t="s">
        <v>2151</v>
      </c>
    </row>
    <row r="71" spans="1:7" ht="20.25">
      <c r="A71" s="83"/>
      <c r="B71" s="960" t="s">
        <v>4142</v>
      </c>
      <c r="C71" s="960"/>
      <c r="D71" s="960"/>
      <c r="E71" s="960"/>
      <c r="F71" s="960"/>
      <c r="G71" s="5">
        <f>ROUND(3.14*0.45*0.45*8/4,2)</f>
        <v>1.27</v>
      </c>
    </row>
    <row r="72" spans="1:7" ht="39" customHeight="1">
      <c r="A72" s="75"/>
      <c r="B72" s="75"/>
      <c r="C72" s="112" t="s">
        <v>4147</v>
      </c>
      <c r="D72" s="75"/>
      <c r="E72" s="75"/>
      <c r="F72" s="75"/>
    </row>
    <row r="73" spans="1:7" ht="28.5" customHeight="1">
      <c r="A73" s="77">
        <f>G71</f>
        <v>1.27</v>
      </c>
      <c r="B73" s="75" t="s">
        <v>2151</v>
      </c>
      <c r="C73" s="75" t="s">
        <v>4012</v>
      </c>
      <c r="D73" s="66"/>
      <c r="E73" s="76">
        <f>G54</f>
        <v>8433.1</v>
      </c>
      <c r="F73" s="76">
        <f>A73*E73</f>
        <v>10710.04</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18898.04</v>
      </c>
    </row>
    <row r="78" spans="1:7" ht="17.25">
      <c r="A78" s="75"/>
      <c r="B78" s="75"/>
      <c r="C78" s="75" t="s">
        <v>1639</v>
      </c>
      <c r="D78" s="66"/>
      <c r="E78" s="75"/>
      <c r="F78" s="76">
        <f>F77/8</f>
        <v>2362.2600000000002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2487.2600000000002</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961" t="s">
        <v>3976</v>
      </c>
      <c r="D85" s="961"/>
      <c r="E85" s="961"/>
      <c r="F85" s="80"/>
      <c r="G85" s="11"/>
    </row>
    <row r="86" spans="1:7" ht="20.25">
      <c r="A86" s="79"/>
      <c r="B86" s="960" t="s">
        <v>4143</v>
      </c>
      <c r="C86" s="960"/>
      <c r="D86" s="960"/>
      <c r="E86" s="960"/>
      <c r="F86" s="960"/>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962" t="s">
        <v>4306</v>
      </c>
      <c r="D89" s="962"/>
      <c r="E89" s="76">
        <f>E25</f>
        <v>34.35</v>
      </c>
      <c r="F89" s="76">
        <f>E89*A89</f>
        <v>5.46</v>
      </c>
    </row>
    <row r="90" spans="1:7" ht="17.25">
      <c r="A90" s="77">
        <f>+A89</f>
        <v>0.159</v>
      </c>
      <c r="B90" s="75" t="s">
        <v>2151</v>
      </c>
      <c r="C90" s="75" t="s">
        <v>4307</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963" t="s">
        <v>3971</v>
      </c>
      <c r="D94" s="963"/>
      <c r="E94" s="963"/>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1582.2</v>
      </c>
      <c r="F104">
        <f>D104*A104</f>
        <v>7911</v>
      </c>
    </row>
    <row r="105" spans="1:7" ht="30" hidden="1" customHeight="1">
      <c r="A105" s="5">
        <v>3.3</v>
      </c>
      <c r="B105" t="s">
        <v>1341</v>
      </c>
      <c r="C105" t="s">
        <v>4000</v>
      </c>
      <c r="D105">
        <f t="shared" ref="D105:D116" si="1">D42</f>
        <v>1292.2</v>
      </c>
      <c r="F105">
        <f t="shared" ref="F105:F111" si="2">D105*A105</f>
        <v>4264.26</v>
      </c>
    </row>
    <row r="106" spans="1:7" ht="30" hidden="1" customHeight="1">
      <c r="A106" s="5">
        <v>4.79</v>
      </c>
      <c r="B106" t="s">
        <v>1341</v>
      </c>
      <c r="C106" t="s">
        <v>4001</v>
      </c>
      <c r="D106">
        <f t="shared" si="1"/>
        <v>2074.06</v>
      </c>
      <c r="F106">
        <f t="shared" si="2"/>
        <v>9934.75</v>
      </c>
    </row>
    <row r="107" spans="1:7" ht="30" hidden="1" customHeight="1">
      <c r="A107" s="5">
        <v>4</v>
      </c>
      <c r="B107" t="s">
        <v>528</v>
      </c>
      <c r="C107" t="s">
        <v>390</v>
      </c>
      <c r="D107">
        <f t="shared" si="1"/>
        <v>6040</v>
      </c>
      <c r="F107">
        <f t="shared" si="2"/>
        <v>24160</v>
      </c>
    </row>
    <row r="108" spans="1:7" ht="30" hidden="1" customHeight="1">
      <c r="A108" s="5">
        <v>40</v>
      </c>
      <c r="B108" t="s">
        <v>1645</v>
      </c>
      <c r="C108" t="s">
        <v>4008</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4003</v>
      </c>
      <c r="D112">
        <f t="shared" si="1"/>
        <v>0</v>
      </c>
      <c r="F112" s="11">
        <f>SUM(F104:F111)</f>
        <v>83911.41</v>
      </c>
    </row>
    <row r="113" spans="1:7" ht="30" hidden="1" customHeight="1">
      <c r="A113" s="5"/>
      <c r="C113" s="11" t="s">
        <v>4004</v>
      </c>
      <c r="D113">
        <f t="shared" si="1"/>
        <v>0</v>
      </c>
      <c r="F113" s="11">
        <f>F112/10</f>
        <v>8391.14</v>
      </c>
      <c r="G113">
        <f>F113</f>
        <v>8391.14</v>
      </c>
    </row>
    <row r="114" spans="1:7" ht="30" hidden="1" customHeight="1">
      <c r="A114" s="5">
        <v>1</v>
      </c>
      <c r="B114" t="s">
        <v>1341</v>
      </c>
      <c r="C114" t="s">
        <v>3465</v>
      </c>
      <c r="D114">
        <f t="shared" si="1"/>
        <v>94.2</v>
      </c>
      <c r="F114">
        <f>D114</f>
        <v>94.2</v>
      </c>
    </row>
    <row r="115" spans="1:7" ht="30" hidden="1" customHeight="1">
      <c r="A115" s="5"/>
      <c r="C115" t="s">
        <v>4005</v>
      </c>
      <c r="D115">
        <f t="shared" si="1"/>
        <v>0</v>
      </c>
      <c r="F115" s="11">
        <f>SUM(F113:F114)</f>
        <v>8485.34</v>
      </c>
      <c r="G115">
        <f>SUM(G113:G114)</f>
        <v>8391.14</v>
      </c>
    </row>
    <row r="116" spans="1:7" ht="30" hidden="1" customHeight="1">
      <c r="A116" s="46" t="s">
        <v>657</v>
      </c>
      <c r="C116" t="s">
        <v>4006</v>
      </c>
      <c r="D116" t="str">
        <f t="shared" si="1"/>
        <v>LS</v>
      </c>
      <c r="F116">
        <f>F115*0.5%</f>
        <v>42.43</v>
      </c>
      <c r="G116">
        <f>G115*0.5/100</f>
        <v>41.96</v>
      </c>
    </row>
    <row r="117" spans="1:7" ht="30" hidden="1" customHeight="1">
      <c r="A117" s="5"/>
      <c r="C117" s="11" t="s">
        <v>3588</v>
      </c>
      <c r="E117" s="1"/>
      <c r="F117" s="11">
        <f>SUM(F115:F116)</f>
        <v>8527.77</v>
      </c>
      <c r="G117" s="11">
        <f>SUM(G115:G116)</f>
        <v>8433.1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964" t="s">
        <v>3985</v>
      </c>
      <c r="B125" s="964"/>
      <c r="C125" s="964"/>
      <c r="D125" s="964"/>
      <c r="E125" s="964"/>
      <c r="F125" s="964"/>
    </row>
    <row r="126" spans="1:7" ht="17.25">
      <c r="A126" s="964" t="s">
        <v>3984</v>
      </c>
      <c r="B126" s="964"/>
      <c r="C126" s="964"/>
      <c r="D126" s="964"/>
      <c r="E126" s="964"/>
      <c r="F126" s="964"/>
    </row>
    <row r="127" spans="1:7" ht="17.25">
      <c r="A127" s="965" t="s">
        <v>4140</v>
      </c>
      <c r="B127" s="965"/>
      <c r="C127" s="965"/>
      <c r="D127" s="965"/>
      <c r="E127" s="965"/>
      <c r="F127" s="965"/>
    </row>
    <row r="128" spans="1:7" ht="17.25">
      <c r="A128" s="966" t="s">
        <v>3983</v>
      </c>
      <c r="B128" s="966"/>
      <c r="C128" s="966"/>
      <c r="D128" s="966"/>
      <c r="E128" s="966"/>
      <c r="F128" s="66"/>
    </row>
    <row r="129" spans="1:7" ht="17.25">
      <c r="A129" s="66"/>
      <c r="B129" s="66"/>
      <c r="C129" s="66"/>
      <c r="D129" s="66"/>
      <c r="E129" s="66"/>
      <c r="F129" s="66"/>
    </row>
    <row r="130" spans="1:7" ht="19.5">
      <c r="B130" s="84"/>
      <c r="C130" s="967" t="s">
        <v>4144</v>
      </c>
      <c r="D130" s="967"/>
      <c r="E130" s="967"/>
      <c r="F130" s="84"/>
      <c r="G130" s="2" t="s">
        <v>2151</v>
      </c>
    </row>
    <row r="131" spans="1:7" ht="20.25">
      <c r="A131" s="83"/>
      <c r="B131" s="960" t="s">
        <v>4145</v>
      </c>
      <c r="C131" s="960"/>
      <c r="D131" s="960"/>
      <c r="E131" s="960"/>
      <c r="F131" s="960"/>
      <c r="G131" s="5">
        <f>3.14*0.4*0.4*8/4</f>
        <v>1.0049999999999999</v>
      </c>
    </row>
    <row r="132" spans="1:7" ht="39.75" customHeight="1">
      <c r="A132" s="75"/>
      <c r="B132" s="75"/>
      <c r="C132" s="112" t="s">
        <v>4148</v>
      </c>
      <c r="D132" s="75"/>
      <c r="E132" s="75"/>
      <c r="F132" s="75"/>
    </row>
    <row r="133" spans="1:7" ht="17.25">
      <c r="A133" s="77">
        <f>G131</f>
        <v>1.0049999999999999</v>
      </c>
      <c r="B133" s="75" t="s">
        <v>2151</v>
      </c>
      <c r="C133" s="75" t="s">
        <v>3981</v>
      </c>
      <c r="D133" s="66"/>
      <c r="E133" s="76">
        <f>G117</f>
        <v>8433.1</v>
      </c>
      <c r="F133" s="76">
        <f>A133*E133</f>
        <v>8475.27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16557.27</v>
      </c>
    </row>
    <row r="138" spans="1:7" ht="17.25">
      <c r="A138" s="75"/>
      <c r="B138" s="75"/>
      <c r="C138" s="75" t="s">
        <v>1639</v>
      </c>
      <c r="D138" s="66"/>
      <c r="E138" s="75"/>
      <c r="F138" s="76">
        <f>F137/7</f>
        <v>2365.3200000000002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2490.3200000000002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961" t="s">
        <v>3976</v>
      </c>
      <c r="D145" s="961"/>
      <c r="E145" s="961"/>
      <c r="F145" s="80"/>
      <c r="G145" s="11"/>
    </row>
    <row r="146" spans="1:7" ht="20.25">
      <c r="A146" s="79"/>
      <c r="B146" s="960" t="s">
        <v>4146</v>
      </c>
      <c r="C146" s="960"/>
      <c r="D146" s="960"/>
      <c r="E146" s="960"/>
      <c r="F146" s="960"/>
      <c r="G146" s="5">
        <f>3.14*0.4*0.4/4</f>
        <v>0.126</v>
      </c>
    </row>
    <row r="147" spans="1:7" ht="17.25">
      <c r="A147" s="75"/>
      <c r="B147" s="75"/>
      <c r="C147" s="78" t="s">
        <v>4149</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962" t="s">
        <v>3972</v>
      </c>
      <c r="D149" s="962"/>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963" t="s">
        <v>3971</v>
      </c>
      <c r="D154" s="963"/>
      <c r="E154" s="963"/>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972" t="s">
        <v>2112</v>
      </c>
      <c r="B1" s="972"/>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5245</v>
      </c>
      <c r="D3" s="136"/>
      <c r="E3" s="137"/>
      <c r="F3" s="138"/>
      <c r="K3" s="126"/>
      <c r="L3" s="129"/>
      <c r="M3" s="125" t="s">
        <v>5642</v>
      </c>
      <c r="N3" s="123"/>
      <c r="O3" s="126"/>
      <c r="P3" s="123"/>
      <c r="R3" s="126"/>
      <c r="S3" s="129"/>
      <c r="T3" s="125" t="s">
        <v>5643</v>
      </c>
      <c r="U3" s="123"/>
      <c r="V3" s="126"/>
      <c r="W3" s="123"/>
      <c r="AC3" s="197" t="s">
        <v>5722</v>
      </c>
      <c r="AL3" s="120"/>
      <c r="AM3" s="120"/>
      <c r="AN3" s="198" t="s">
        <v>5735</v>
      </c>
      <c r="AO3" s="199"/>
      <c r="AP3" s="120"/>
      <c r="AQ3" s="211" t="s">
        <v>5159</v>
      </c>
      <c r="AR3" s="120"/>
    </row>
    <row r="4" spans="1:46" ht="72.75" customHeight="1">
      <c r="A4" s="133"/>
      <c r="B4" s="134"/>
      <c r="C4" s="139" t="s">
        <v>5228</v>
      </c>
      <c r="D4" s="136"/>
      <c r="E4" s="137"/>
      <c r="F4" s="133"/>
      <c r="K4" s="126">
        <v>1</v>
      </c>
      <c r="L4" s="129" t="s">
        <v>560</v>
      </c>
      <c r="M4" s="167" t="s">
        <v>5623</v>
      </c>
      <c r="N4" s="123">
        <v>4440</v>
      </c>
      <c r="O4" s="126" t="s">
        <v>1714</v>
      </c>
      <c r="P4" s="123">
        <f>SUM(K4*N4)</f>
        <v>4440</v>
      </c>
      <c r="R4" s="126">
        <v>1</v>
      </c>
      <c r="S4" s="129" t="s">
        <v>560</v>
      </c>
      <c r="T4" s="167" t="s">
        <v>5623</v>
      </c>
      <c r="U4" s="123">
        <v>5404</v>
      </c>
      <c r="V4" s="126" t="s">
        <v>1714</v>
      </c>
      <c r="W4" s="123">
        <f>SUM(R4*U4)</f>
        <v>5404</v>
      </c>
      <c r="AA4" s="969" t="s">
        <v>5704</v>
      </c>
      <c r="AB4" s="969"/>
      <c r="AC4" s="969"/>
      <c r="AD4" s="969"/>
      <c r="AE4" s="969"/>
      <c r="AF4" s="969"/>
      <c r="AG4" s="969"/>
      <c r="AL4" s="120"/>
      <c r="AM4" s="120"/>
      <c r="AN4" s="200" t="s">
        <v>5736</v>
      </c>
      <c r="AO4" s="200"/>
      <c r="AP4" s="120"/>
      <c r="AQ4" s="201"/>
      <c r="AR4" s="120"/>
      <c r="AT4" s="165">
        <f>5/12</f>
        <v>0.41666666666666702</v>
      </c>
    </row>
    <row r="5" spans="1:46" ht="15.75" customHeight="1">
      <c r="A5" s="133"/>
      <c r="B5" s="134"/>
      <c r="C5" s="140" t="s">
        <v>4155</v>
      </c>
      <c r="D5" s="136"/>
      <c r="E5" s="137"/>
      <c r="F5" s="133"/>
      <c r="K5" s="126">
        <v>1</v>
      </c>
      <c r="L5" s="129" t="s">
        <v>560</v>
      </c>
      <c r="M5" s="128" t="s">
        <v>5624</v>
      </c>
      <c r="N5" s="123">
        <v>1287</v>
      </c>
      <c r="O5" s="126" t="s">
        <v>1714</v>
      </c>
      <c r="P5" s="123">
        <f>SUM(K5*N5)</f>
        <v>1287</v>
      </c>
      <c r="R5" s="126">
        <v>1</v>
      </c>
      <c r="S5" s="129" t="s">
        <v>560</v>
      </c>
      <c r="T5" s="128" t="s">
        <v>5624</v>
      </c>
      <c r="U5" s="123">
        <v>1617</v>
      </c>
      <c r="V5" s="126" t="s">
        <v>1714</v>
      </c>
      <c r="W5" s="123">
        <f>SUM(R5*U5)</f>
        <v>1617</v>
      </c>
      <c r="AA5" s="165" t="s">
        <v>5705</v>
      </c>
      <c r="AL5" s="120"/>
      <c r="AM5" s="120"/>
      <c r="AN5" s="120" t="s">
        <v>5737</v>
      </c>
      <c r="AO5" s="120"/>
      <c r="AP5" s="120"/>
      <c r="AQ5" s="201"/>
      <c r="AR5" s="120"/>
      <c r="AT5" s="165">
        <f>8/12</f>
        <v>0.66666666666666696</v>
      </c>
    </row>
    <row r="6" spans="1:46" ht="15.75" customHeight="1">
      <c r="A6" s="133"/>
      <c r="B6" s="134"/>
      <c r="C6" s="120" t="s">
        <v>5737</v>
      </c>
      <c r="D6" s="120"/>
      <c r="E6" s="120"/>
      <c r="F6" s="120">
        <f>3.42*6.42*2</f>
        <v>43.912799999999997</v>
      </c>
      <c r="G6" s="182"/>
      <c r="K6" s="126">
        <v>1</v>
      </c>
      <c r="L6" s="129" t="s">
        <v>560</v>
      </c>
      <c r="M6" s="128" t="s">
        <v>5625</v>
      </c>
      <c r="N6" s="123">
        <v>2157</v>
      </c>
      <c r="O6" s="126" t="s">
        <v>1714</v>
      </c>
      <c r="P6" s="123">
        <f>SUM(K6*N6)</f>
        <v>2157</v>
      </c>
      <c r="R6" s="126">
        <v>1</v>
      </c>
      <c r="S6" s="129" t="s">
        <v>560</v>
      </c>
      <c r="T6" s="128" t="s">
        <v>5625</v>
      </c>
      <c r="U6" s="123">
        <v>3173</v>
      </c>
      <c r="V6" s="126" t="s">
        <v>1714</v>
      </c>
      <c r="W6" s="123">
        <f>SUM(R6*U6)</f>
        <v>3173</v>
      </c>
      <c r="AA6" s="165" t="s">
        <v>5706</v>
      </c>
      <c r="AL6" s="120"/>
      <c r="AM6" s="120"/>
      <c r="AN6" s="120" t="s">
        <v>5738</v>
      </c>
      <c r="AO6" s="120"/>
      <c r="AP6" s="120" t="s">
        <v>5739</v>
      </c>
      <c r="AQ6" s="201"/>
      <c r="AR6" s="211">
        <f>4.5*6.42*2</f>
        <v>57.78</v>
      </c>
      <c r="AT6" s="120">
        <f>(4.5+6.42)*2</f>
        <v>21.84</v>
      </c>
    </row>
    <row r="7" spans="1:46" ht="16.5" customHeight="1">
      <c r="A7" s="133"/>
      <c r="B7" s="134"/>
      <c r="C7" s="120" t="s">
        <v>5790</v>
      </c>
      <c r="D7" s="120"/>
      <c r="E7" s="120" t="s">
        <v>5784</v>
      </c>
      <c r="F7" s="173">
        <f>6.42*2</f>
        <v>12.84</v>
      </c>
      <c r="G7" s="182"/>
      <c r="K7" s="126">
        <v>12</v>
      </c>
      <c r="L7" s="129" t="s">
        <v>1030</v>
      </c>
      <c r="M7" s="128" t="s">
        <v>5626</v>
      </c>
      <c r="N7" s="123">
        <v>127</v>
      </c>
      <c r="O7" s="126" t="s">
        <v>1714</v>
      </c>
      <c r="P7" s="123">
        <f>SUM(K7*N7)</f>
        <v>1524</v>
      </c>
      <c r="R7" s="126">
        <v>12</v>
      </c>
      <c r="S7" s="129" t="s">
        <v>1030</v>
      </c>
      <c r="T7" s="128" t="s">
        <v>5626</v>
      </c>
      <c r="U7" s="123">
        <v>173</v>
      </c>
      <c r="V7" s="126" t="s">
        <v>1714</v>
      </c>
      <c r="W7" s="123">
        <f>SUM(R7*U7)</f>
        <v>2076</v>
      </c>
      <c r="AA7" s="165" t="s">
        <v>5707</v>
      </c>
      <c r="AL7" s="120"/>
      <c r="AM7" s="120"/>
      <c r="AN7" s="120" t="s">
        <v>5740</v>
      </c>
      <c r="AO7" s="120"/>
      <c r="AP7" s="120" t="s">
        <v>5741</v>
      </c>
      <c r="AQ7" s="201"/>
      <c r="AR7" s="212">
        <f>6.42*2</f>
        <v>12.84</v>
      </c>
      <c r="AT7" s="165">
        <f>AT6/3</f>
        <v>7.28</v>
      </c>
    </row>
    <row r="8" spans="1:46" ht="16.5" customHeight="1">
      <c r="A8" s="133"/>
      <c r="B8" s="134"/>
      <c r="C8" s="120" t="s">
        <v>5740</v>
      </c>
      <c r="D8" s="120"/>
      <c r="E8" s="120" t="s">
        <v>5741</v>
      </c>
      <c r="F8" s="120">
        <f>3.42*2</f>
        <v>6.84</v>
      </c>
      <c r="G8" s="182"/>
      <c r="K8" s="126"/>
      <c r="L8" s="156" t="s">
        <v>657</v>
      </c>
      <c r="M8" s="157" t="s">
        <v>5627</v>
      </c>
      <c r="N8" s="158"/>
      <c r="O8" s="156" t="s">
        <v>657</v>
      </c>
      <c r="P8" s="158">
        <v>55.3</v>
      </c>
      <c r="R8" s="126"/>
      <c r="S8" s="156" t="s">
        <v>657</v>
      </c>
      <c r="T8" s="157" t="s">
        <v>5627</v>
      </c>
      <c r="U8" s="158"/>
      <c r="V8" s="156" t="s">
        <v>657</v>
      </c>
      <c r="W8" s="158">
        <v>55.3</v>
      </c>
      <c r="AA8" s="165" t="s">
        <v>5708</v>
      </c>
      <c r="AL8" s="120"/>
      <c r="AM8" s="120"/>
      <c r="AN8" s="120" t="s">
        <v>5742</v>
      </c>
      <c r="AO8" s="120"/>
      <c r="AP8" s="120" t="s">
        <v>5743</v>
      </c>
      <c r="AQ8" s="201"/>
      <c r="AR8" s="211">
        <f>4.5*2</f>
        <v>9</v>
      </c>
      <c r="AT8" s="165">
        <f>AT7*0.6</f>
        <v>4.3680000000000003</v>
      </c>
    </row>
    <row r="9" spans="1:46" ht="19.5" customHeight="1">
      <c r="A9" s="133"/>
      <c r="B9" s="134"/>
      <c r="C9" s="120" t="s">
        <v>5791</v>
      </c>
      <c r="D9" s="120"/>
      <c r="E9" s="120" t="s">
        <v>5785</v>
      </c>
      <c r="F9" s="120">
        <f>4*3.42</f>
        <v>13.68</v>
      </c>
      <c r="G9" s="182"/>
      <c r="K9" s="126"/>
      <c r="L9" s="156" t="s">
        <v>657</v>
      </c>
      <c r="M9" s="157" t="s">
        <v>5614</v>
      </c>
      <c r="N9" s="158"/>
      <c r="O9" s="156" t="s">
        <v>657</v>
      </c>
      <c r="P9" s="158">
        <v>24</v>
      </c>
      <c r="R9" s="126"/>
      <c r="S9" s="156" t="s">
        <v>657</v>
      </c>
      <c r="T9" s="157" t="s">
        <v>5614</v>
      </c>
      <c r="U9" s="158"/>
      <c r="V9" s="156" t="s">
        <v>657</v>
      </c>
      <c r="W9" s="158">
        <v>24</v>
      </c>
      <c r="AL9" s="120"/>
      <c r="AM9" s="120"/>
      <c r="AN9" s="120" t="s">
        <v>5744</v>
      </c>
      <c r="AO9" s="120"/>
      <c r="AP9" s="120" t="s">
        <v>5745</v>
      </c>
      <c r="AQ9" s="201"/>
      <c r="AR9" s="211">
        <f>4*4.5</f>
        <v>18</v>
      </c>
    </row>
    <row r="10" spans="1:46" ht="20.25" customHeight="1">
      <c r="A10" s="133"/>
      <c r="B10" s="134"/>
      <c r="C10" s="120" t="s">
        <v>5792</v>
      </c>
      <c r="D10" s="120"/>
      <c r="E10" s="120" t="s">
        <v>5786</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5709</v>
      </c>
      <c r="AC10" s="168" t="s">
        <v>5710</v>
      </c>
      <c r="AD10" s="166">
        <v>51.4</v>
      </c>
      <c r="AE10" s="165" t="s">
        <v>5709</v>
      </c>
      <c r="AF10" s="166">
        <f t="shared" ref="AF10:AF15" si="0">AA10*AD10</f>
        <v>501.15</v>
      </c>
      <c r="AL10" s="120"/>
      <c r="AM10" s="120"/>
      <c r="AN10" s="120" t="s">
        <v>5746</v>
      </c>
      <c r="AO10" s="120"/>
      <c r="AP10" s="120" t="s">
        <v>5747</v>
      </c>
      <c r="AQ10" s="201"/>
      <c r="AR10" s="211">
        <f>2*3*2.67</f>
        <v>16.02</v>
      </c>
    </row>
    <row r="11" spans="1:46" ht="15.75" customHeight="1">
      <c r="A11" s="133"/>
      <c r="B11" s="134"/>
      <c r="C11" s="120" t="s">
        <v>5746</v>
      </c>
      <c r="D11" s="120"/>
      <c r="E11" s="120" t="s">
        <v>5747</v>
      </c>
      <c r="F11" s="120">
        <f>SUM(F6:F10)</f>
        <v>93.2928</v>
      </c>
      <c r="G11" s="182"/>
      <c r="K11" s="126"/>
      <c r="L11" s="129"/>
      <c r="M11" s="128" t="s">
        <v>5615</v>
      </c>
      <c r="N11" s="123"/>
      <c r="O11" s="126"/>
      <c r="P11" s="123">
        <f>P10*1%</f>
        <v>94.87</v>
      </c>
      <c r="R11" s="126"/>
      <c r="S11" s="129"/>
      <c r="T11" s="128" t="s">
        <v>5615</v>
      </c>
      <c r="U11" s="123"/>
      <c r="V11" s="126"/>
      <c r="W11" s="123">
        <f>W10*1%</f>
        <v>123.49</v>
      </c>
      <c r="AA11" s="166">
        <v>0.28000000000000003</v>
      </c>
      <c r="AB11" s="165" t="s">
        <v>5711</v>
      </c>
      <c r="AC11" s="165" t="s">
        <v>5712</v>
      </c>
      <c r="AD11" s="166">
        <v>1260</v>
      </c>
      <c r="AE11" s="165" t="s">
        <v>5711</v>
      </c>
      <c r="AF11" s="166">
        <f t="shared" si="0"/>
        <v>352.8</v>
      </c>
      <c r="AL11" s="120"/>
      <c r="AM11" s="120"/>
      <c r="AN11" s="120" t="s">
        <v>2245</v>
      </c>
      <c r="AO11" s="120"/>
      <c r="AP11" s="120" t="s">
        <v>5748</v>
      </c>
      <c r="AQ11" s="201"/>
      <c r="AR11" s="211">
        <f>SUM(AR6:AR10)</f>
        <v>113.64</v>
      </c>
    </row>
    <row r="12" spans="1:46" ht="16.5" customHeight="1">
      <c r="A12" s="133"/>
      <c r="B12" s="134"/>
      <c r="C12" s="120" t="s">
        <v>2245</v>
      </c>
      <c r="D12" s="120"/>
      <c r="E12" s="120" t="s">
        <v>5787</v>
      </c>
      <c r="F12" s="120">
        <f>F11*10%</f>
        <v>9.3292800000000007</v>
      </c>
      <c r="G12" s="182"/>
      <c r="K12" s="126"/>
      <c r="L12" s="129"/>
      <c r="M12" s="128" t="s">
        <v>5616</v>
      </c>
      <c r="N12" s="123"/>
      <c r="O12" s="126"/>
      <c r="P12" s="123">
        <v>1898</v>
      </c>
      <c r="R12" s="126"/>
      <c r="S12" s="129"/>
      <c r="T12" s="128" t="s">
        <v>5616</v>
      </c>
      <c r="U12" s="123"/>
      <c r="V12" s="126"/>
      <c r="W12" s="123">
        <v>1898</v>
      </c>
      <c r="AA12" s="166">
        <v>3</v>
      </c>
      <c r="AB12" s="165" t="s">
        <v>1030</v>
      </c>
      <c r="AC12" s="165" t="s">
        <v>5713</v>
      </c>
      <c r="AD12" s="166">
        <v>188.4</v>
      </c>
      <c r="AE12" s="165" t="s">
        <v>1030</v>
      </c>
      <c r="AF12" s="166">
        <f t="shared" si="0"/>
        <v>565.20000000000005</v>
      </c>
      <c r="AL12" s="120"/>
      <c r="AM12" s="120"/>
      <c r="AN12" s="202" t="s">
        <v>5749</v>
      </c>
      <c r="AO12" s="120"/>
      <c r="AP12" s="120" t="s">
        <v>5750</v>
      </c>
      <c r="AQ12" s="201"/>
      <c r="AR12" s="211">
        <f>AR11*10%</f>
        <v>11.364000000000001</v>
      </c>
    </row>
    <row r="13" spans="1:46" ht="15.75" customHeight="1">
      <c r="A13" s="144"/>
      <c r="B13" s="134"/>
      <c r="C13" s="202" t="s">
        <v>5749</v>
      </c>
      <c r="D13" s="120"/>
      <c r="E13" s="120" t="s">
        <v>5788</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5714</v>
      </c>
      <c r="AC13" s="165" t="s">
        <v>5715</v>
      </c>
      <c r="AD13" s="166">
        <v>67.150000000000006</v>
      </c>
      <c r="AE13" s="165" t="s">
        <v>5714</v>
      </c>
      <c r="AF13" s="166">
        <f t="shared" si="0"/>
        <v>67.150000000000006</v>
      </c>
      <c r="AL13" s="120"/>
      <c r="AM13" s="120"/>
      <c r="AN13" s="202"/>
      <c r="AO13" s="199"/>
      <c r="AP13" s="120" t="s">
        <v>5751</v>
      </c>
      <c r="AQ13" s="201"/>
      <c r="AR13" s="211">
        <f>SUM(AR11:AR12)</f>
        <v>125.004</v>
      </c>
      <c r="AS13" s="165">
        <f>AR13*1.17</f>
        <v>146.25468000000001</v>
      </c>
    </row>
    <row r="14" spans="1:46" ht="15" customHeight="1">
      <c r="A14" s="133"/>
      <c r="B14" s="134"/>
      <c r="C14" s="202"/>
      <c r="D14" s="199"/>
      <c r="E14" s="120" t="s">
        <v>5794</v>
      </c>
      <c r="F14" s="120"/>
      <c r="G14" s="182"/>
      <c r="K14" s="126"/>
      <c r="L14" s="129"/>
      <c r="M14" s="128"/>
      <c r="N14" s="123"/>
      <c r="O14" s="126"/>
      <c r="P14" s="130"/>
      <c r="R14" s="126"/>
      <c r="S14" s="129"/>
      <c r="T14" s="128"/>
      <c r="U14" s="123"/>
      <c r="V14" s="126"/>
      <c r="W14" s="130"/>
      <c r="AA14" s="166">
        <v>0.22</v>
      </c>
      <c r="AB14" s="165" t="s">
        <v>5716</v>
      </c>
      <c r="AC14" s="165" t="s">
        <v>5717</v>
      </c>
      <c r="AD14" s="166">
        <v>526</v>
      </c>
      <c r="AE14" s="165" t="s">
        <v>5716</v>
      </c>
      <c r="AF14" s="166">
        <f t="shared" si="0"/>
        <v>115.72</v>
      </c>
      <c r="AL14" s="120"/>
      <c r="AM14" s="120"/>
      <c r="AN14" s="120" t="s">
        <v>5752</v>
      </c>
      <c r="AO14" s="120"/>
      <c r="AP14" s="120" t="s">
        <v>5753</v>
      </c>
      <c r="AQ14" s="201"/>
      <c r="AR14" s="120"/>
    </row>
    <row r="15" spans="1:46" ht="20.25" customHeight="1">
      <c r="A15" s="133"/>
      <c r="B15" s="134"/>
      <c r="C15" s="120" t="s">
        <v>5793</v>
      </c>
      <c r="D15" s="120"/>
      <c r="E15" s="120" t="s">
        <v>5789</v>
      </c>
      <c r="F15" s="133"/>
      <c r="K15" s="968" t="s">
        <v>5617</v>
      </c>
      <c r="L15" s="968"/>
      <c r="M15" s="968"/>
      <c r="N15" s="968"/>
      <c r="O15" s="968"/>
      <c r="P15" s="968"/>
      <c r="AA15" s="166">
        <v>6</v>
      </c>
      <c r="AB15" s="165" t="s">
        <v>5718</v>
      </c>
      <c r="AC15" s="165" t="s">
        <v>5720</v>
      </c>
      <c r="AD15" s="166">
        <v>56.7</v>
      </c>
      <c r="AE15" s="165" t="s">
        <v>5718</v>
      </c>
      <c r="AF15" s="166">
        <f t="shared" si="0"/>
        <v>340.2</v>
      </c>
      <c r="AL15" s="203">
        <v>146.25</v>
      </c>
      <c r="AM15" s="184" t="s">
        <v>1645</v>
      </c>
      <c r="AN15" s="139" t="s">
        <v>5477</v>
      </c>
      <c r="AO15" s="157"/>
      <c r="AP15" s="126">
        <f>D16</f>
        <v>57.6</v>
      </c>
      <c r="AQ15" s="184" t="s">
        <v>1645</v>
      </c>
      <c r="AR15" s="173">
        <f>AL15*AP15</f>
        <v>8424</v>
      </c>
    </row>
    <row r="16" spans="1:46" ht="20.25" customHeight="1">
      <c r="A16" s="133">
        <v>120.07</v>
      </c>
      <c r="B16" s="134" t="s">
        <v>913</v>
      </c>
      <c r="C16" s="139" t="s">
        <v>5477</v>
      </c>
      <c r="D16" s="216">
        <v>57.6</v>
      </c>
      <c r="E16" s="137" t="s">
        <v>913</v>
      </c>
      <c r="F16" s="133">
        <f>D16*A16</f>
        <v>6916.03</v>
      </c>
      <c r="H16" s="165">
        <f>125*1.17</f>
        <v>146.25</v>
      </c>
      <c r="K16" s="126">
        <v>3</v>
      </c>
      <c r="L16" s="156" t="s">
        <v>1030</v>
      </c>
      <c r="M16" s="157" t="s">
        <v>5618</v>
      </c>
      <c r="N16" s="158">
        <v>750</v>
      </c>
      <c r="O16" s="156" t="s">
        <v>1714</v>
      </c>
      <c r="P16" s="158">
        <f>N16*K16</f>
        <v>2250</v>
      </c>
      <c r="T16" s="125" t="s">
        <v>5643</v>
      </c>
      <c r="AA16" s="169"/>
      <c r="AF16" s="170">
        <f>SUM(AF10:AF15)</f>
        <v>1942.22</v>
      </c>
      <c r="AL16" s="203">
        <v>6.2</v>
      </c>
      <c r="AM16" s="203" t="s">
        <v>1645</v>
      </c>
      <c r="AN16" s="157" t="s">
        <v>5478</v>
      </c>
      <c r="AO16" s="157"/>
      <c r="AP16" s="126">
        <f>D41</f>
        <v>562</v>
      </c>
      <c r="AQ16" s="184" t="s">
        <v>1645</v>
      </c>
      <c r="AR16" s="173">
        <f t="shared" ref="AR16:AR43" si="1">AL16*AP16</f>
        <v>3484.4</v>
      </c>
    </row>
    <row r="17" spans="1:44" ht="71.25" customHeight="1">
      <c r="A17" s="144"/>
      <c r="B17" s="134"/>
      <c r="C17" s="140" t="s">
        <v>4163</v>
      </c>
      <c r="D17" s="136"/>
      <c r="E17" s="137"/>
      <c r="F17" s="133"/>
      <c r="K17" s="126">
        <v>3</v>
      </c>
      <c r="L17" s="156" t="s">
        <v>1030</v>
      </c>
      <c r="M17" s="157" t="s">
        <v>5619</v>
      </c>
      <c r="N17" s="158">
        <v>15</v>
      </c>
      <c r="O17" s="156" t="s">
        <v>1714</v>
      </c>
      <c r="P17" s="158">
        <f>N17*K17</f>
        <v>45</v>
      </c>
      <c r="R17" s="970" t="s">
        <v>5795</v>
      </c>
      <c r="S17" s="970"/>
      <c r="T17" s="970"/>
      <c r="U17" s="970"/>
      <c r="V17" s="970"/>
      <c r="W17" s="970"/>
      <c r="AA17" s="169"/>
      <c r="AC17" s="165" t="s">
        <v>5444</v>
      </c>
      <c r="AF17" s="166">
        <f>AF16*2%</f>
        <v>38.840000000000003</v>
      </c>
      <c r="AL17" s="203">
        <v>6.2</v>
      </c>
      <c r="AM17" s="203" t="s">
        <v>1645</v>
      </c>
      <c r="AN17" s="157" t="s">
        <v>5479</v>
      </c>
      <c r="AO17" s="157"/>
      <c r="AP17" s="126">
        <f>D42</f>
        <v>10</v>
      </c>
      <c r="AQ17" s="184" t="s">
        <v>1645</v>
      </c>
      <c r="AR17" s="173">
        <f t="shared" si="1"/>
        <v>62</v>
      </c>
    </row>
    <row r="18" spans="1:44" ht="63">
      <c r="A18" s="133"/>
      <c r="B18" s="134"/>
      <c r="C18" s="139" t="s">
        <v>4164</v>
      </c>
      <c r="D18" s="136"/>
      <c r="E18" s="137"/>
      <c r="F18" s="133"/>
      <c r="K18" s="126">
        <v>6</v>
      </c>
      <c r="L18" s="156" t="s">
        <v>1030</v>
      </c>
      <c r="M18" s="157" t="s">
        <v>5620</v>
      </c>
      <c r="N18" s="158">
        <v>3</v>
      </c>
      <c r="O18" s="156" t="s">
        <v>1714</v>
      </c>
      <c r="P18" s="158">
        <f>N18*K18</f>
        <v>18</v>
      </c>
      <c r="R18" s="126">
        <v>1</v>
      </c>
      <c r="S18" s="129" t="s">
        <v>560</v>
      </c>
      <c r="T18" s="214" t="s">
        <v>5797</v>
      </c>
      <c r="U18" s="123">
        <v>2262</v>
      </c>
      <c r="V18" s="126" t="s">
        <v>1714</v>
      </c>
      <c r="W18" s="123">
        <f>SUM(R18*U18)</f>
        <v>2262</v>
      </c>
      <c r="AA18" s="171"/>
      <c r="AC18" s="165" t="s">
        <v>915</v>
      </c>
      <c r="AF18" s="166">
        <f>AF24</f>
        <v>1824</v>
      </c>
      <c r="AL18" s="120"/>
      <c r="AM18" s="184"/>
      <c r="AN18" s="157" t="s">
        <v>5754</v>
      </c>
      <c r="AO18" s="157"/>
      <c r="AP18" s="126"/>
      <c r="AQ18" s="184"/>
      <c r="AR18" s="173">
        <f t="shared" si="1"/>
        <v>0</v>
      </c>
    </row>
    <row r="19" spans="1:44" ht="31.5">
      <c r="A19" s="133"/>
      <c r="B19" s="134"/>
      <c r="C19" s="139" t="s">
        <v>5240</v>
      </c>
      <c r="D19" s="136"/>
      <c r="E19" s="137"/>
      <c r="F19" s="133"/>
      <c r="K19" s="126">
        <v>1</v>
      </c>
      <c r="L19" s="156" t="s">
        <v>560</v>
      </c>
      <c r="M19" s="157" t="s">
        <v>5621</v>
      </c>
      <c r="N19" s="158">
        <v>850</v>
      </c>
      <c r="O19" s="156" t="s">
        <v>1714</v>
      </c>
      <c r="P19" s="158">
        <f>N19*K19</f>
        <v>850</v>
      </c>
      <c r="R19" s="126">
        <v>1</v>
      </c>
      <c r="S19" s="129" t="s">
        <v>560</v>
      </c>
      <c r="T19" s="128" t="s">
        <v>5625</v>
      </c>
      <c r="U19" s="123">
        <v>3173</v>
      </c>
      <c r="V19" s="126" t="s">
        <v>1714</v>
      </c>
      <c r="W19" s="123">
        <f>SUM(R19*U19)</f>
        <v>3173</v>
      </c>
      <c r="AA19" s="169"/>
      <c r="AC19" s="165" t="s">
        <v>2245</v>
      </c>
      <c r="AF19" s="170">
        <f>SUM(AF16:AF18)</f>
        <v>3805.06</v>
      </c>
      <c r="AL19" s="120"/>
      <c r="AM19" s="184"/>
      <c r="AN19" s="157" t="s">
        <v>5755</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5796</v>
      </c>
      <c r="U20" s="123">
        <v>829</v>
      </c>
      <c r="V20" s="126" t="s">
        <v>1714</v>
      </c>
      <c r="W20" s="123">
        <f>SUM(R20*U20)</f>
        <v>2487</v>
      </c>
      <c r="AA20" s="169"/>
      <c r="AC20" s="172" t="s">
        <v>5721</v>
      </c>
      <c r="AD20" s="170">
        <v>3805</v>
      </c>
      <c r="AF20" s="170"/>
      <c r="AL20" s="120"/>
      <c r="AM20" s="184"/>
      <c r="AN20" s="157" t="s">
        <v>5756</v>
      </c>
      <c r="AO20" s="157"/>
      <c r="AP20" s="126"/>
      <c r="AQ20" s="184"/>
      <c r="AR20" s="173">
        <f t="shared" si="1"/>
        <v>0</v>
      </c>
    </row>
    <row r="21" spans="1:44" ht="31.5">
      <c r="A21" s="133"/>
      <c r="B21" s="134"/>
      <c r="C21" s="139" t="s">
        <v>4166</v>
      </c>
      <c r="D21" s="136"/>
      <c r="E21" s="137"/>
      <c r="F21" s="133"/>
      <c r="K21" s="126"/>
      <c r="L21" s="156"/>
      <c r="M21" s="157"/>
      <c r="N21" s="158"/>
      <c r="O21" s="156"/>
      <c r="P21" s="159">
        <f>SUM(P16:P19)</f>
        <v>3163</v>
      </c>
      <c r="R21" s="126">
        <v>6</v>
      </c>
      <c r="S21" s="129" t="s">
        <v>1030</v>
      </c>
      <c r="T21" s="128" t="s">
        <v>5626</v>
      </c>
      <c r="U21" s="123">
        <v>173</v>
      </c>
      <c r="V21" s="126" t="s">
        <v>1714</v>
      </c>
      <c r="W21" s="123">
        <f>SUM(R21*U21)</f>
        <v>1038</v>
      </c>
      <c r="AA21" s="171" t="s">
        <v>5443</v>
      </c>
      <c r="AL21" s="120"/>
      <c r="AM21" s="184"/>
      <c r="AN21" s="157" t="s">
        <v>5757</v>
      </c>
      <c r="AO21" s="157"/>
      <c r="AP21" s="126"/>
      <c r="AQ21" s="184"/>
      <c r="AR21" s="173">
        <f t="shared" si="1"/>
        <v>0</v>
      </c>
    </row>
    <row r="22" spans="1:44" ht="31.5">
      <c r="A22" s="133"/>
      <c r="B22" s="134"/>
      <c r="C22" s="139" t="s">
        <v>5239</v>
      </c>
      <c r="D22" s="136"/>
      <c r="E22" s="137"/>
      <c r="F22" s="133"/>
      <c r="K22" s="126"/>
      <c r="L22" s="156"/>
      <c r="M22" s="157" t="s">
        <v>5622</v>
      </c>
      <c r="N22" s="158"/>
      <c r="O22" s="156"/>
      <c r="P22" s="158">
        <f>P21*2/100</f>
        <v>63.26</v>
      </c>
      <c r="R22" s="126"/>
      <c r="S22" s="156" t="s">
        <v>657</v>
      </c>
      <c r="T22" s="120" t="s">
        <v>5627</v>
      </c>
      <c r="U22" s="158"/>
      <c r="V22" s="156" t="s">
        <v>657</v>
      </c>
      <c r="W22" s="158">
        <v>55.3</v>
      </c>
      <c r="AA22" s="173">
        <v>1</v>
      </c>
      <c r="AB22" s="165" t="s">
        <v>5634</v>
      </c>
      <c r="AC22" s="165" t="s">
        <v>5445</v>
      </c>
      <c r="AD22" s="166">
        <v>712</v>
      </c>
      <c r="AE22" s="165" t="s">
        <v>3617</v>
      </c>
      <c r="AF22" s="166">
        <f>AA22*AD22</f>
        <v>712</v>
      </c>
      <c r="AL22" s="203">
        <v>8</v>
      </c>
      <c r="AM22" s="184" t="s">
        <v>826</v>
      </c>
      <c r="AN22" s="157" t="s">
        <v>5781</v>
      </c>
      <c r="AO22" s="157"/>
      <c r="AP22" s="213">
        <f>D48</f>
        <v>115</v>
      </c>
      <c r="AQ22" s="184" t="s">
        <v>826</v>
      </c>
      <c r="AR22" s="173">
        <f t="shared" si="1"/>
        <v>920</v>
      </c>
    </row>
    <row r="23" spans="1:44" ht="19.5" customHeight="1">
      <c r="A23" s="133"/>
      <c r="B23" s="134"/>
      <c r="C23" s="139" t="s">
        <v>5238</v>
      </c>
      <c r="D23" s="136"/>
      <c r="E23" s="137"/>
      <c r="F23" s="133"/>
      <c r="K23" s="126"/>
      <c r="L23" s="156"/>
      <c r="M23" s="157" t="s">
        <v>915</v>
      </c>
      <c r="N23" s="158"/>
      <c r="O23" s="156"/>
      <c r="P23" s="158">
        <f>P31</f>
        <v>528.5</v>
      </c>
      <c r="R23" s="126"/>
      <c r="S23" s="156" t="s">
        <v>657</v>
      </c>
      <c r="T23" s="120" t="s">
        <v>5614</v>
      </c>
      <c r="U23" s="158"/>
      <c r="V23" s="156" t="s">
        <v>657</v>
      </c>
      <c r="W23" s="158">
        <v>24</v>
      </c>
      <c r="AA23" s="166">
        <v>2</v>
      </c>
      <c r="AB23" s="165" t="s">
        <v>1432</v>
      </c>
      <c r="AC23" s="165" t="s">
        <v>5719</v>
      </c>
      <c r="AD23" s="166">
        <v>556</v>
      </c>
      <c r="AE23" s="165" t="s">
        <v>3617</v>
      </c>
      <c r="AF23" s="166">
        <f>AA23*AD23</f>
        <v>1112</v>
      </c>
      <c r="AL23" s="203">
        <v>15.4</v>
      </c>
      <c r="AM23" s="184" t="s">
        <v>913</v>
      </c>
      <c r="AN23" s="157" t="s">
        <v>5770</v>
      </c>
      <c r="AO23" s="157"/>
      <c r="AP23" s="126">
        <f>AP15</f>
        <v>57.6</v>
      </c>
      <c r="AQ23" s="184" t="s">
        <v>913</v>
      </c>
      <c r="AR23" s="173">
        <f t="shared" si="1"/>
        <v>887.04</v>
      </c>
    </row>
    <row r="24" spans="1:44" ht="15.75">
      <c r="A24" s="133"/>
      <c r="B24" s="134"/>
      <c r="C24" s="139" t="s">
        <v>5237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5758</v>
      </c>
      <c r="AO24" s="157"/>
      <c r="AP24" s="126"/>
      <c r="AQ24" s="184"/>
      <c r="AR24" s="173">
        <f t="shared" si="1"/>
        <v>0</v>
      </c>
    </row>
    <row r="25" spans="1:44" ht="15.75">
      <c r="A25" s="133"/>
      <c r="B25" s="134"/>
      <c r="C25" s="139" t="s">
        <v>5236</v>
      </c>
      <c r="D25" s="136"/>
      <c r="E25" s="137"/>
      <c r="F25" s="133"/>
      <c r="K25" s="126"/>
      <c r="L25" s="156"/>
      <c r="M25" s="157"/>
      <c r="N25" s="158"/>
      <c r="O25" s="125" t="s">
        <v>5446</v>
      </c>
      <c r="P25" s="159">
        <v>3639</v>
      </c>
      <c r="R25" s="126"/>
      <c r="S25" s="129"/>
      <c r="T25" s="128" t="s">
        <v>5615</v>
      </c>
      <c r="U25" s="123"/>
      <c r="V25" s="126"/>
      <c r="W25" s="123">
        <f>W24*1%</f>
        <v>90.39</v>
      </c>
      <c r="AA25" s="169"/>
      <c r="AL25" s="204">
        <v>3</v>
      </c>
      <c r="AM25" s="184" t="s">
        <v>1432</v>
      </c>
      <c r="AN25" s="157" t="s">
        <v>5230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5616</v>
      </c>
      <c r="U26" s="123"/>
      <c r="V26" s="126"/>
      <c r="W26" s="123">
        <v>1898</v>
      </c>
      <c r="AA26" s="171"/>
      <c r="AL26" s="204">
        <v>1</v>
      </c>
      <c r="AM26" s="184" t="s">
        <v>1394</v>
      </c>
      <c r="AN26" s="157" t="s">
        <v>5729</v>
      </c>
      <c r="AO26" s="157"/>
      <c r="AP26" s="126">
        <f t="shared" ref="AP26:AP31" si="2">D52</f>
        <v>77.599999999999994</v>
      </c>
      <c r="AQ26" s="184" t="s">
        <v>1398</v>
      </c>
      <c r="AR26" s="173">
        <f t="shared" si="1"/>
        <v>77.599999999999994</v>
      </c>
    </row>
    <row r="27" spans="1:44" ht="15.75">
      <c r="A27" s="133"/>
      <c r="B27" s="134"/>
      <c r="C27" s="140" t="s">
        <v>4172</v>
      </c>
      <c r="D27" s="136"/>
      <c r="E27" s="137"/>
      <c r="F27" s="133"/>
      <c r="K27" s="123"/>
      <c r="L27" s="157"/>
      <c r="M27" s="157" t="s">
        <v>2643</v>
      </c>
      <c r="N27" s="158"/>
      <c r="O27" s="156"/>
      <c r="P27" s="158"/>
      <c r="R27" s="126"/>
      <c r="S27" s="129"/>
      <c r="T27" s="128"/>
      <c r="U27" s="123"/>
      <c r="V27" s="126"/>
      <c r="W27" s="130">
        <f>SUM(W24:W26)</f>
        <v>11027.69</v>
      </c>
      <c r="AA27" s="171" t="s">
        <v>5702</v>
      </c>
      <c r="AL27" s="204">
        <v>12</v>
      </c>
      <c r="AM27" s="184" t="s">
        <v>1432</v>
      </c>
      <c r="AN27" s="157" t="s">
        <v>5484</v>
      </c>
      <c r="AO27" s="157"/>
      <c r="AP27" s="126">
        <f t="shared" si="2"/>
        <v>190.2</v>
      </c>
      <c r="AQ27" s="184" t="s">
        <v>1398</v>
      </c>
      <c r="AR27" s="173">
        <f t="shared" si="1"/>
        <v>2282.4</v>
      </c>
    </row>
    <row r="28" spans="1:44" ht="18" customHeight="1">
      <c r="A28" s="133"/>
      <c r="B28" s="134"/>
      <c r="C28" s="139" t="s">
        <v>4173</v>
      </c>
      <c r="D28" s="136"/>
      <c r="E28" s="137"/>
      <c r="F28" s="133"/>
      <c r="K28" s="123"/>
      <c r="L28" s="158">
        <v>1</v>
      </c>
      <c r="M28" s="157" t="s">
        <v>5628</v>
      </c>
      <c r="N28" s="175">
        <f>Elec.Data!I36</f>
        <v>826</v>
      </c>
      <c r="O28" s="156"/>
      <c r="P28" s="158">
        <f>L28*N28</f>
        <v>826</v>
      </c>
      <c r="R28" s="126"/>
      <c r="S28" s="129"/>
      <c r="T28" s="128"/>
      <c r="U28" s="123"/>
      <c r="V28" s="126"/>
      <c r="W28" s="130">
        <v>11028</v>
      </c>
      <c r="X28" s="165">
        <f>W28*5</f>
        <v>55140</v>
      </c>
      <c r="AA28" s="171" t="s">
        <v>5703</v>
      </c>
      <c r="AL28" s="204">
        <v>1</v>
      </c>
      <c r="AM28" s="184" t="s">
        <v>1394</v>
      </c>
      <c r="AN28" s="157" t="s">
        <v>5732</v>
      </c>
      <c r="AO28" s="157"/>
      <c r="AP28" s="126">
        <f t="shared" si="2"/>
        <v>85.2</v>
      </c>
      <c r="AQ28" s="184" t="s">
        <v>1398</v>
      </c>
      <c r="AR28" s="173">
        <f t="shared" si="1"/>
        <v>85.2</v>
      </c>
    </row>
    <row r="29" spans="1:44" ht="20.25" customHeight="1">
      <c r="A29" s="133"/>
      <c r="B29" s="134"/>
      <c r="C29" s="139" t="s">
        <v>4174</v>
      </c>
      <c r="D29" s="136"/>
      <c r="E29" s="137"/>
      <c r="F29" s="133"/>
      <c r="K29" s="123"/>
      <c r="L29" s="158">
        <v>2</v>
      </c>
      <c r="M29" s="157" t="s">
        <v>2586</v>
      </c>
      <c r="N29" s="175">
        <f>Elec.Data!I38</f>
        <v>644</v>
      </c>
      <c r="O29" s="156"/>
      <c r="P29" s="158">
        <f>L29*N29</f>
        <v>1288</v>
      </c>
      <c r="AL29" s="204">
        <v>4</v>
      </c>
      <c r="AM29" s="184" t="s">
        <v>1432</v>
      </c>
      <c r="AN29" s="157" t="s">
        <v>5485</v>
      </c>
      <c r="AO29" s="157"/>
      <c r="AP29" s="126">
        <f t="shared" si="2"/>
        <v>67.8</v>
      </c>
      <c r="AQ29" s="184" t="s">
        <v>1398</v>
      </c>
      <c r="AR29" s="173">
        <f t="shared" si="1"/>
        <v>271.2</v>
      </c>
    </row>
    <row r="30" spans="1:44" ht="15.75">
      <c r="A30" s="133"/>
      <c r="B30" s="134"/>
      <c r="C30" s="139" t="s">
        <v>5235</v>
      </c>
      <c r="D30" s="136"/>
      <c r="E30" s="137"/>
      <c r="F30" s="133"/>
      <c r="K30" s="123"/>
      <c r="L30" s="158"/>
      <c r="M30" s="157"/>
      <c r="N30" s="175"/>
      <c r="O30" s="156"/>
      <c r="P30" s="158">
        <f>SUM(P28:P29)</f>
        <v>2114</v>
      </c>
      <c r="R30" s="970" t="s">
        <v>5798</v>
      </c>
      <c r="S30" s="970"/>
      <c r="T30" s="970"/>
      <c r="U30" s="970"/>
      <c r="V30" s="970"/>
      <c r="W30" s="970"/>
      <c r="AL30" s="204">
        <v>1</v>
      </c>
      <c r="AM30" s="184" t="s">
        <v>1394</v>
      </c>
      <c r="AN30" s="157" t="s">
        <v>5486</v>
      </c>
      <c r="AO30" s="157"/>
      <c r="AP30" s="126">
        <f t="shared" si="2"/>
        <v>38</v>
      </c>
      <c r="AQ30" s="184" t="s">
        <v>1398</v>
      </c>
      <c r="AR30" s="173">
        <f t="shared" si="1"/>
        <v>38</v>
      </c>
    </row>
    <row r="31" spans="1:44" ht="33" customHeight="1">
      <c r="A31" s="133"/>
      <c r="B31" s="134"/>
      <c r="C31" s="139" t="s">
        <v>4176</v>
      </c>
      <c r="D31" s="136"/>
      <c r="E31" s="137"/>
      <c r="F31" s="133"/>
      <c r="K31" s="123"/>
      <c r="L31" s="158"/>
      <c r="M31" s="157"/>
      <c r="N31" s="175"/>
      <c r="O31" s="156"/>
      <c r="P31" s="159">
        <f>P30/4</f>
        <v>528.5</v>
      </c>
      <c r="R31" s="126">
        <v>1</v>
      </c>
      <c r="S31" s="129" t="s">
        <v>560</v>
      </c>
      <c r="T31" s="214" t="s">
        <v>5799</v>
      </c>
      <c r="U31" s="123">
        <v>6850</v>
      </c>
      <c r="V31" s="126" t="s">
        <v>1714</v>
      </c>
      <c r="W31" s="123">
        <f>SUM(R31*U31)</f>
        <v>6850</v>
      </c>
      <c r="AL31" s="204">
        <v>4</v>
      </c>
      <c r="AM31" s="184" t="s">
        <v>1432</v>
      </c>
      <c r="AN31" s="157" t="s">
        <v>5733</v>
      </c>
      <c r="AO31" s="157"/>
      <c r="AP31" s="126">
        <f t="shared" si="2"/>
        <v>580</v>
      </c>
      <c r="AQ31" s="184" t="s">
        <v>1398</v>
      </c>
      <c r="AR31" s="173">
        <f t="shared" si="1"/>
        <v>2320</v>
      </c>
    </row>
    <row r="32" spans="1:44" ht="31.5">
      <c r="A32" s="133"/>
      <c r="B32" s="134"/>
      <c r="C32" s="139" t="s">
        <v>4177</v>
      </c>
      <c r="D32" s="136"/>
      <c r="E32" s="137"/>
      <c r="F32" s="133"/>
      <c r="R32" s="126">
        <v>1</v>
      </c>
      <c r="S32" s="129" t="s">
        <v>560</v>
      </c>
      <c r="T32" s="128" t="s">
        <v>5800</v>
      </c>
      <c r="U32" s="123">
        <v>8830</v>
      </c>
      <c r="V32" s="126" t="s">
        <v>1714</v>
      </c>
      <c r="W32" s="123">
        <f>SUM(R32*U32)</f>
        <v>8830</v>
      </c>
      <c r="AL32" s="204">
        <v>1</v>
      </c>
      <c r="AM32" s="184" t="s">
        <v>1394</v>
      </c>
      <c r="AN32" s="157" t="s">
        <v>5734</v>
      </c>
      <c r="AO32" s="157"/>
      <c r="AP32" s="126">
        <f>D59</f>
        <v>258</v>
      </c>
      <c r="AQ32" s="184" t="s">
        <v>1398</v>
      </c>
      <c r="AR32" s="173">
        <f t="shared" si="1"/>
        <v>258</v>
      </c>
    </row>
    <row r="33" spans="1:44" ht="31.5">
      <c r="A33" s="133"/>
      <c r="B33" s="134"/>
      <c r="C33" s="139" t="s">
        <v>4178</v>
      </c>
      <c r="D33" s="136"/>
      <c r="E33" s="137"/>
      <c r="F33" s="133"/>
      <c r="K33" s="166">
        <v>1</v>
      </c>
      <c r="L33" s="165" t="s">
        <v>5630</v>
      </c>
      <c r="M33" s="168" t="s">
        <v>5631</v>
      </c>
      <c r="N33" s="166">
        <v>5800</v>
      </c>
      <c r="O33" s="166" t="s">
        <v>5632</v>
      </c>
      <c r="P33" s="166">
        <f>N33*K33</f>
        <v>5800</v>
      </c>
      <c r="R33" s="126">
        <v>5</v>
      </c>
      <c r="S33" s="129" t="s">
        <v>560</v>
      </c>
      <c r="T33" s="128" t="s">
        <v>5801</v>
      </c>
      <c r="U33" s="123">
        <v>903</v>
      </c>
      <c r="V33" s="126" t="s">
        <v>1714</v>
      </c>
      <c r="W33" s="123">
        <f>SUM(R33*U33)</f>
        <v>4515</v>
      </c>
      <c r="AL33" s="203">
        <v>484</v>
      </c>
      <c r="AM33" s="184" t="s">
        <v>5759</v>
      </c>
      <c r="AN33" s="157" t="s">
        <v>5771</v>
      </c>
      <c r="AO33" s="157"/>
      <c r="AP33" s="126">
        <f>D60</f>
        <v>1</v>
      </c>
      <c r="AQ33" s="184" t="s">
        <v>4191</v>
      </c>
      <c r="AR33" s="173">
        <f t="shared" si="1"/>
        <v>484</v>
      </c>
    </row>
    <row r="34" spans="1:44" ht="31.5">
      <c r="A34" s="133"/>
      <c r="B34" s="134"/>
      <c r="C34" s="139" t="s">
        <v>5234</v>
      </c>
      <c r="D34" s="136"/>
      <c r="E34" s="137"/>
      <c r="F34" s="133"/>
      <c r="K34" s="166"/>
      <c r="M34" s="168" t="s">
        <v>5633</v>
      </c>
      <c r="N34" s="166"/>
      <c r="O34" s="166"/>
      <c r="P34" s="166">
        <f>P33*12%</f>
        <v>696</v>
      </c>
      <c r="R34" s="126">
        <v>8</v>
      </c>
      <c r="S34" s="129" t="s">
        <v>1030</v>
      </c>
      <c r="T34" s="128" t="s">
        <v>5626</v>
      </c>
      <c r="U34" s="123">
        <v>173</v>
      </c>
      <c r="V34" s="126" t="s">
        <v>1714</v>
      </c>
      <c r="W34" s="123">
        <f>SUM(R34*U34)</f>
        <v>1384</v>
      </c>
      <c r="AL34" s="184"/>
      <c r="AM34" s="184"/>
      <c r="AN34" s="157" t="s">
        <v>5760</v>
      </c>
      <c r="AO34" s="157"/>
      <c r="AP34" s="126">
        <f>D61</f>
        <v>0</v>
      </c>
      <c r="AQ34" s="184"/>
      <c r="AR34" s="173">
        <f t="shared" si="1"/>
        <v>0</v>
      </c>
    </row>
    <row r="35" spans="1:44" ht="15.75">
      <c r="A35" s="133"/>
      <c r="B35" s="134"/>
      <c r="C35" s="139" t="s">
        <v>4180</v>
      </c>
      <c r="D35" s="136"/>
      <c r="E35" s="137"/>
      <c r="F35" s="133"/>
      <c r="K35" s="166"/>
      <c r="M35" s="168"/>
      <c r="N35" s="166"/>
      <c r="O35" s="166"/>
      <c r="P35" s="166">
        <v>6496</v>
      </c>
      <c r="R35" s="126"/>
      <c r="S35" s="156" t="s">
        <v>657</v>
      </c>
      <c r="T35" s="120" t="s">
        <v>5627</v>
      </c>
      <c r="U35" s="158"/>
      <c r="V35" s="156" t="s">
        <v>657</v>
      </c>
      <c r="W35" s="158">
        <v>55.3</v>
      </c>
      <c r="AL35" s="203">
        <v>18.3</v>
      </c>
      <c r="AM35" s="184" t="s">
        <v>5761</v>
      </c>
      <c r="AN35" s="157" t="s">
        <v>5489</v>
      </c>
      <c r="AO35" s="205"/>
      <c r="AP35" s="126">
        <f t="shared" ref="AP35:AP43" si="3">D63</f>
        <v>20</v>
      </c>
      <c r="AQ35" s="184" t="s">
        <v>5762</v>
      </c>
      <c r="AR35" s="173">
        <f t="shared" si="1"/>
        <v>366</v>
      </c>
    </row>
    <row r="36" spans="1:44" ht="18.75" customHeight="1">
      <c r="A36" s="133"/>
      <c r="B36" s="134"/>
      <c r="C36" s="139" t="s">
        <v>4181</v>
      </c>
      <c r="D36" s="136"/>
      <c r="E36" s="137"/>
      <c r="F36" s="133"/>
      <c r="K36" s="166">
        <v>2</v>
      </c>
      <c r="L36" s="165" t="s">
        <v>5634</v>
      </c>
      <c r="M36" s="168" t="s">
        <v>5638</v>
      </c>
      <c r="N36" s="166">
        <v>5.58</v>
      </c>
      <c r="O36" s="166" t="s">
        <v>5635</v>
      </c>
      <c r="P36" s="166">
        <f>N36*K36</f>
        <v>11.16</v>
      </c>
      <c r="R36" s="126"/>
      <c r="S36" s="156" t="s">
        <v>657</v>
      </c>
      <c r="T36" s="120" t="s">
        <v>5614</v>
      </c>
      <c r="U36" s="158"/>
      <c r="V36" s="156" t="s">
        <v>657</v>
      </c>
      <c r="W36" s="158">
        <v>24</v>
      </c>
      <c r="AL36" s="203">
        <v>0.7</v>
      </c>
      <c r="AM36" s="184" t="s">
        <v>5772</v>
      </c>
      <c r="AN36" s="157" t="s">
        <v>5490</v>
      </c>
      <c r="AO36" s="157"/>
      <c r="AP36" s="126">
        <f t="shared" si="3"/>
        <v>1322</v>
      </c>
      <c r="AQ36" s="184" t="s">
        <v>5772</v>
      </c>
      <c r="AR36" s="173">
        <f t="shared" si="1"/>
        <v>925.4</v>
      </c>
    </row>
    <row r="37" spans="1:44" ht="22.5" customHeight="1">
      <c r="A37" s="133"/>
      <c r="B37" s="134"/>
      <c r="C37" s="139" t="s">
        <v>4182</v>
      </c>
      <c r="D37" s="136"/>
      <c r="E37" s="137"/>
      <c r="F37" s="133"/>
      <c r="K37" s="166">
        <v>1</v>
      </c>
      <c r="L37" s="165" t="s">
        <v>5636</v>
      </c>
      <c r="M37" s="168" t="s">
        <v>5639</v>
      </c>
      <c r="N37" s="166">
        <v>9.8000000000000007</v>
      </c>
      <c r="O37" s="166" t="s">
        <v>4202</v>
      </c>
      <c r="P37" s="166">
        <f>N37*K37</f>
        <v>9.8000000000000007</v>
      </c>
      <c r="R37" s="126"/>
      <c r="S37" s="129"/>
      <c r="T37" s="128"/>
      <c r="U37" s="123"/>
      <c r="V37" s="126"/>
      <c r="W37" s="130">
        <f>SUM(W31:W36)</f>
        <v>21658.3</v>
      </c>
      <c r="AL37" s="203">
        <v>5</v>
      </c>
      <c r="AM37" s="184" t="s">
        <v>1432</v>
      </c>
      <c r="AN37" s="157" t="s">
        <v>5773</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5615</v>
      </c>
      <c r="U38" s="123"/>
      <c r="V38" s="126"/>
      <c r="W38" s="123">
        <f>W37*1%</f>
        <v>216.58</v>
      </c>
      <c r="AL38" s="203">
        <v>1</v>
      </c>
      <c r="AM38" s="184" t="s">
        <v>4214</v>
      </c>
      <c r="AN38" s="157" t="s">
        <v>5774</v>
      </c>
      <c r="AO38" s="205"/>
      <c r="AP38" s="126">
        <f t="shared" si="3"/>
        <v>280</v>
      </c>
      <c r="AQ38" s="184" t="s">
        <v>145</v>
      </c>
      <c r="AR38" s="173">
        <f t="shared" si="1"/>
        <v>280</v>
      </c>
    </row>
    <row r="39" spans="1:44" ht="20.25" customHeight="1">
      <c r="A39" s="133"/>
      <c r="B39" s="134"/>
      <c r="C39" s="139" t="s">
        <v>5233</v>
      </c>
      <c r="D39" s="136"/>
      <c r="E39" s="137"/>
      <c r="F39" s="133"/>
      <c r="K39" s="165">
        <v>6515.56</v>
      </c>
      <c r="N39" s="166"/>
      <c r="O39" s="166"/>
      <c r="R39" s="126"/>
      <c r="S39" s="129"/>
      <c r="T39" s="128" t="s">
        <v>5616</v>
      </c>
      <c r="U39" s="123"/>
      <c r="V39" s="126"/>
      <c r="W39" s="123">
        <v>1898</v>
      </c>
      <c r="AL39" s="203">
        <v>5</v>
      </c>
      <c r="AM39" s="184" t="s">
        <v>5761</v>
      </c>
      <c r="AN39" s="157" t="s">
        <v>5775</v>
      </c>
      <c r="AO39" s="157"/>
      <c r="AP39" s="126">
        <f t="shared" si="3"/>
        <v>10.45</v>
      </c>
      <c r="AQ39" s="184" t="s">
        <v>5762</v>
      </c>
      <c r="AR39" s="173">
        <f t="shared" si="1"/>
        <v>52.25</v>
      </c>
    </row>
    <row r="40" spans="1:44" ht="31.5">
      <c r="A40" s="133"/>
      <c r="B40" s="134"/>
      <c r="C40" s="139"/>
      <c r="D40" s="136"/>
      <c r="E40" s="137"/>
      <c r="F40" s="133"/>
      <c r="M40" s="165" t="s">
        <v>5637</v>
      </c>
      <c r="N40" s="166"/>
      <c r="O40" s="166"/>
      <c r="P40" s="166">
        <f>P38*1%</f>
        <v>65.17</v>
      </c>
      <c r="R40" s="126"/>
      <c r="S40" s="129"/>
      <c r="T40" s="128"/>
      <c r="U40" s="123"/>
      <c r="V40" s="126"/>
      <c r="W40" s="130">
        <f>SUM(W37:W39)</f>
        <v>23772.880000000001</v>
      </c>
      <c r="AL40" s="203">
        <v>130.54</v>
      </c>
      <c r="AM40" s="184" t="s">
        <v>1645</v>
      </c>
      <c r="AN40" s="157" t="s">
        <v>5782</v>
      </c>
      <c r="AO40" s="157"/>
      <c r="AP40" s="126">
        <f t="shared" si="3"/>
        <v>52.5</v>
      </c>
      <c r="AQ40" s="184" t="s">
        <v>1645</v>
      </c>
      <c r="AR40" s="173">
        <f t="shared" si="1"/>
        <v>6853.35</v>
      </c>
    </row>
    <row r="41" spans="1:44" ht="32.25" customHeight="1">
      <c r="A41" s="133">
        <v>6.2</v>
      </c>
      <c r="B41" s="134" t="s">
        <v>913</v>
      </c>
      <c r="C41" s="139" t="s">
        <v>5478</v>
      </c>
      <c r="D41" s="216">
        <v>562</v>
      </c>
      <c r="E41" s="137" t="s">
        <v>913</v>
      </c>
      <c r="F41" s="133">
        <f>SUM(A41*D41)</f>
        <v>3484.4</v>
      </c>
      <c r="K41" s="165" t="s">
        <v>5629</v>
      </c>
      <c r="M41" s="165" t="s">
        <v>5637</v>
      </c>
      <c r="P41" s="166">
        <v>65.16</v>
      </c>
      <c r="W41" s="165">
        <v>23773</v>
      </c>
      <c r="X41" s="165">
        <f>W41*2</f>
        <v>47546</v>
      </c>
      <c r="AL41" s="203">
        <v>5</v>
      </c>
      <c r="AM41" s="184" t="s">
        <v>1432</v>
      </c>
      <c r="AN41" s="157" t="s">
        <v>5783</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5640</v>
      </c>
      <c r="P42" s="166">
        <f>237.25*1.5</f>
        <v>355.88</v>
      </c>
      <c r="AL42" s="203">
        <v>178.92</v>
      </c>
      <c r="AM42" s="184" t="s">
        <v>5763</v>
      </c>
      <c r="AN42" s="157" t="s">
        <v>4199</v>
      </c>
      <c r="AO42" s="157"/>
      <c r="AP42" s="126">
        <f t="shared" si="3"/>
        <v>10</v>
      </c>
      <c r="AQ42" s="184" t="s">
        <v>4200</v>
      </c>
      <c r="AR42" s="173">
        <f t="shared" si="1"/>
        <v>1789.2</v>
      </c>
    </row>
    <row r="43" spans="1:44" ht="21.75" customHeight="1">
      <c r="A43" s="133"/>
      <c r="B43" s="134"/>
      <c r="C43" s="139"/>
      <c r="D43" s="136"/>
      <c r="E43" s="137"/>
      <c r="F43" s="133"/>
      <c r="P43" s="170">
        <f>SUM(P38:P42)</f>
        <v>7003.17</v>
      </c>
      <c r="AL43" s="203">
        <v>36</v>
      </c>
      <c r="AM43" s="203" t="s">
        <v>5761</v>
      </c>
      <c r="AN43" s="157" t="s">
        <v>5764</v>
      </c>
      <c r="AO43" s="157"/>
      <c r="AP43" s="126">
        <f t="shared" si="3"/>
        <v>60.65</v>
      </c>
      <c r="AQ43" s="184" t="s">
        <v>5762</v>
      </c>
      <c r="AR43" s="173">
        <f t="shared" si="1"/>
        <v>2183.4</v>
      </c>
    </row>
    <row r="44" spans="1:44" ht="20.25" customHeight="1">
      <c r="A44" s="133"/>
      <c r="B44" s="134"/>
      <c r="C44" s="140" t="s">
        <v>4185</v>
      </c>
      <c r="D44" s="136"/>
      <c r="E44" s="137"/>
      <c r="F44" s="133"/>
      <c r="P44" s="166">
        <v>7004</v>
      </c>
      <c r="AL44" s="173"/>
      <c r="AM44" s="120"/>
      <c r="AN44" s="157" t="s">
        <v>5765</v>
      </c>
      <c r="AO44" s="157"/>
      <c r="AP44" s="158"/>
      <c r="AQ44" s="120"/>
      <c r="AR44" s="173"/>
    </row>
    <row r="45" spans="1:44" ht="20.25" customHeight="1">
      <c r="A45" s="133"/>
      <c r="B45" s="134"/>
      <c r="C45" s="139" t="s">
        <v>4186</v>
      </c>
      <c r="D45" s="136"/>
      <c r="E45" s="137"/>
      <c r="F45" s="133"/>
      <c r="AL45" s="173"/>
      <c r="AM45" s="120"/>
      <c r="AN45" s="157" t="s">
        <v>5776</v>
      </c>
      <c r="AO45" s="157"/>
      <c r="AP45" s="158"/>
      <c r="AQ45" s="120"/>
      <c r="AR45" s="173"/>
    </row>
    <row r="46" spans="1:44" ht="20.25" customHeight="1">
      <c r="A46" s="133"/>
      <c r="B46" s="134"/>
      <c r="C46" s="139" t="s">
        <v>5232</v>
      </c>
      <c r="D46" s="136"/>
      <c r="E46" s="137"/>
      <c r="F46" s="133"/>
      <c r="AL46" s="173"/>
      <c r="AM46" s="120"/>
      <c r="AN46" s="157" t="s">
        <v>5777</v>
      </c>
      <c r="AO46" s="157"/>
      <c r="AP46" s="126">
        <v>200</v>
      </c>
      <c r="AQ46" s="120"/>
      <c r="AR46" s="173">
        <v>200</v>
      </c>
    </row>
    <row r="47" spans="1:44" ht="20.25" customHeight="1">
      <c r="A47" s="133"/>
      <c r="B47" s="134"/>
      <c r="C47" s="139" t="s">
        <v>5231</v>
      </c>
      <c r="D47" s="136"/>
      <c r="E47" s="137"/>
      <c r="F47" s="133"/>
      <c r="AL47" s="173"/>
      <c r="AM47" s="120"/>
      <c r="AN47" s="157"/>
      <c r="AO47" s="157"/>
      <c r="AP47" s="205" t="s">
        <v>2245</v>
      </c>
      <c r="AQ47" s="120"/>
      <c r="AR47" s="210">
        <f>SUM(AR15:AR46)</f>
        <v>39438.44</v>
      </c>
    </row>
    <row r="48" spans="1:44" ht="20.25" customHeight="1">
      <c r="A48" s="133">
        <v>6.1</v>
      </c>
      <c r="B48" s="134" t="s">
        <v>826</v>
      </c>
      <c r="C48" s="139" t="s">
        <v>5940</v>
      </c>
      <c r="D48" s="216">
        <v>115</v>
      </c>
      <c r="E48" s="137" t="s">
        <v>826</v>
      </c>
      <c r="F48" s="133">
        <f>D48*A48</f>
        <v>701.5</v>
      </c>
      <c r="AL48" s="120"/>
      <c r="AM48" s="120"/>
      <c r="AN48" s="157" t="s">
        <v>5766</v>
      </c>
      <c r="AO48" s="157"/>
      <c r="AP48" s="157"/>
      <c r="AQ48" s="120"/>
      <c r="AR48" s="173">
        <f>AR47*2%</f>
        <v>788.77</v>
      </c>
    </row>
    <row r="49" spans="1:44" ht="20.25" customHeight="1">
      <c r="A49" s="133"/>
      <c r="B49" s="134"/>
      <c r="C49" s="139"/>
      <c r="D49" s="136"/>
      <c r="E49" s="137"/>
      <c r="F49" s="133"/>
      <c r="AL49" s="120"/>
      <c r="AM49" s="120"/>
      <c r="AN49" s="157" t="s">
        <v>5767</v>
      </c>
      <c r="AO49" s="157"/>
      <c r="AP49" s="157"/>
      <c r="AQ49" s="120"/>
      <c r="AR49" s="210">
        <f>SUM(AR47:AR48)</f>
        <v>40227.21</v>
      </c>
    </row>
    <row r="50" spans="1:44" ht="20.25" customHeight="1">
      <c r="A50" s="133"/>
      <c r="B50" s="134"/>
      <c r="C50" s="140" t="s">
        <v>4189</v>
      </c>
      <c r="D50" s="136"/>
      <c r="E50" s="137"/>
      <c r="F50" s="133"/>
      <c r="AL50" s="120"/>
      <c r="AM50" s="120"/>
      <c r="AN50" s="157" t="s">
        <v>5768</v>
      </c>
      <c r="AO50" s="157"/>
      <c r="AP50" s="157"/>
      <c r="AQ50" s="120"/>
      <c r="AR50" s="173">
        <v>1000</v>
      </c>
    </row>
    <row r="51" spans="1:44" ht="20.25" customHeight="1">
      <c r="A51" s="133">
        <v>3</v>
      </c>
      <c r="B51" s="134" t="s">
        <v>1030</v>
      </c>
      <c r="C51" s="139" t="s">
        <v>5941</v>
      </c>
      <c r="D51" s="216">
        <v>555</v>
      </c>
      <c r="E51" s="137" t="s">
        <v>1398</v>
      </c>
      <c r="F51" s="133">
        <f>D51*A51</f>
        <v>1665</v>
      </c>
      <c r="AL51" s="120"/>
      <c r="AM51" s="120"/>
      <c r="AN51" s="157" t="s">
        <v>5769</v>
      </c>
      <c r="AO51" s="157"/>
      <c r="AP51" s="157"/>
      <c r="AQ51" s="120"/>
      <c r="AR51" s="173">
        <v>1000</v>
      </c>
    </row>
    <row r="52" spans="1:44" ht="20.25" customHeight="1">
      <c r="A52" s="133">
        <v>1</v>
      </c>
      <c r="B52" s="134" t="s">
        <v>1030</v>
      </c>
      <c r="C52" s="139" t="s">
        <v>5729</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5943</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5944</v>
      </c>
      <c r="D54" s="216">
        <v>85.2</v>
      </c>
      <c r="E54" s="137" t="s">
        <v>1398</v>
      </c>
      <c r="F54" s="133">
        <f t="shared" si="4"/>
        <v>85.2</v>
      </c>
      <c r="AL54" s="120"/>
      <c r="AM54" s="120"/>
      <c r="AN54" s="157"/>
      <c r="AO54" s="120"/>
      <c r="AP54" s="120"/>
      <c r="AQ54" s="120"/>
      <c r="AR54" s="120"/>
    </row>
    <row r="55" spans="1:44" ht="20.25" customHeight="1">
      <c r="A55" s="133">
        <v>4</v>
      </c>
      <c r="B55" s="134" t="s">
        <v>1030</v>
      </c>
      <c r="C55" s="139" t="s">
        <v>5485</v>
      </c>
      <c r="D55" s="217">
        <v>67.8</v>
      </c>
      <c r="E55" s="137" t="s">
        <v>1398</v>
      </c>
      <c r="F55" s="133">
        <f t="shared" si="4"/>
        <v>271.2</v>
      </c>
      <c r="AL55" s="120"/>
      <c r="AM55" s="120"/>
      <c r="AN55" s="139"/>
      <c r="AO55" s="136"/>
      <c r="AP55" s="137"/>
      <c r="AQ55" s="133"/>
    </row>
    <row r="56" spans="1:44" ht="20.25" customHeight="1">
      <c r="A56" s="133">
        <v>1</v>
      </c>
      <c r="B56" s="134" t="s">
        <v>1030</v>
      </c>
      <c r="C56" s="139" t="s">
        <v>5945</v>
      </c>
      <c r="D56" s="136">
        <v>38</v>
      </c>
      <c r="E56" s="137" t="s">
        <v>1398</v>
      </c>
      <c r="F56" s="133">
        <f t="shared" si="4"/>
        <v>38</v>
      </c>
      <c r="AL56" s="133"/>
      <c r="AM56" s="134"/>
      <c r="AN56" s="139"/>
      <c r="AO56" s="136"/>
      <c r="AP56" s="137"/>
      <c r="AQ56" s="133"/>
    </row>
    <row r="57" spans="1:44" ht="20.25" customHeight="1">
      <c r="A57" s="133">
        <v>4</v>
      </c>
      <c r="B57" s="134" t="s">
        <v>560</v>
      </c>
      <c r="C57" s="139" t="s">
        <v>5946</v>
      </c>
      <c r="D57" s="216">
        <v>580</v>
      </c>
      <c r="E57" s="137" t="s">
        <v>1398</v>
      </c>
      <c r="F57" s="133">
        <f t="shared" si="4"/>
        <v>2320</v>
      </c>
      <c r="AL57" s="133"/>
      <c r="AM57" s="134"/>
      <c r="AN57" s="139"/>
      <c r="AO57" s="136"/>
      <c r="AP57" s="137"/>
      <c r="AQ57" s="133"/>
    </row>
    <row r="58" spans="1:44" ht="20.25" customHeight="1">
      <c r="A58" s="133"/>
      <c r="B58" s="134" t="s">
        <v>560</v>
      </c>
      <c r="C58" s="139" t="s">
        <v>5942</v>
      </c>
      <c r="D58" s="136"/>
      <c r="E58" s="137" t="s">
        <v>1398</v>
      </c>
      <c r="F58" s="133">
        <f t="shared" si="4"/>
        <v>0</v>
      </c>
      <c r="AL58" s="133"/>
      <c r="AM58" s="134"/>
      <c r="AN58" s="139"/>
      <c r="AO58" s="136"/>
      <c r="AP58" s="137"/>
      <c r="AQ58" s="133"/>
    </row>
    <row r="59" spans="1:44" ht="20.25" customHeight="1">
      <c r="A59" s="133">
        <v>1</v>
      </c>
      <c r="B59" s="134" t="s">
        <v>560</v>
      </c>
      <c r="C59" s="139" t="s">
        <v>5947</v>
      </c>
      <c r="D59" s="216">
        <v>258</v>
      </c>
      <c r="E59" s="137" t="s">
        <v>1398</v>
      </c>
      <c r="F59" s="133">
        <f t="shared" si="4"/>
        <v>258</v>
      </c>
      <c r="AL59" s="133"/>
      <c r="AM59" s="134"/>
      <c r="AN59" s="139"/>
      <c r="AO59" s="136"/>
      <c r="AP59" s="137"/>
      <c r="AQ59" s="133"/>
    </row>
    <row r="60" spans="1:44" ht="20.25" customHeight="1">
      <c r="A60" s="176">
        <v>484</v>
      </c>
      <c r="B60" s="137" t="s">
        <v>4191</v>
      </c>
      <c r="C60" s="139" t="s">
        <v>5487</v>
      </c>
      <c r="D60" s="136">
        <v>1</v>
      </c>
      <c r="E60" s="137" t="s">
        <v>4191</v>
      </c>
      <c r="F60" s="133">
        <f t="shared" si="4"/>
        <v>484</v>
      </c>
      <c r="AL60" s="176"/>
      <c r="AM60" s="137"/>
      <c r="AN60" s="139"/>
      <c r="AO60" s="136"/>
      <c r="AP60" s="137"/>
      <c r="AQ60" s="133"/>
    </row>
    <row r="61" spans="1:44" ht="20.25" customHeight="1">
      <c r="A61" s="133"/>
      <c r="B61" s="134"/>
      <c r="C61" s="139" t="s">
        <v>4193</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5489</v>
      </c>
      <c r="D63" s="136">
        <v>20</v>
      </c>
      <c r="E63" s="137" t="s">
        <v>826</v>
      </c>
      <c r="F63" s="133">
        <f t="shared" ref="F63:F71" si="5">SUM(A63*D63)</f>
        <v>366</v>
      </c>
      <c r="AL63" s="133"/>
      <c r="AM63" s="134"/>
      <c r="AN63" s="139"/>
      <c r="AO63" s="136"/>
      <c r="AP63" s="177"/>
      <c r="AQ63" s="133"/>
    </row>
    <row r="64" spans="1:44" ht="20.25" customHeight="1">
      <c r="A64" s="133">
        <v>0.7</v>
      </c>
      <c r="B64" s="134" t="s">
        <v>5544</v>
      </c>
      <c r="C64" s="139" t="s">
        <v>5948</v>
      </c>
      <c r="D64" s="136">
        <f>661*2</f>
        <v>1322</v>
      </c>
      <c r="E64" s="177" t="s">
        <v>5544</v>
      </c>
      <c r="F64" s="133">
        <f t="shared" si="5"/>
        <v>925.4</v>
      </c>
      <c r="AL64" s="133"/>
      <c r="AM64" s="134"/>
      <c r="AN64" s="139"/>
      <c r="AO64" s="136"/>
      <c r="AP64" s="137"/>
      <c r="AQ64" s="133"/>
    </row>
    <row r="65" spans="1:43" ht="20.25" customHeight="1">
      <c r="A65" s="133">
        <v>5</v>
      </c>
      <c r="B65" s="134" t="s">
        <v>1432</v>
      </c>
      <c r="C65" s="139" t="s">
        <v>5491</v>
      </c>
      <c r="D65" s="136">
        <v>20</v>
      </c>
      <c r="E65" s="137" t="s">
        <v>1714</v>
      </c>
      <c r="F65" s="133">
        <f t="shared" si="5"/>
        <v>100</v>
      </c>
      <c r="AL65" s="133"/>
      <c r="AM65" s="134"/>
      <c r="AN65" s="139"/>
      <c r="AO65" s="136"/>
      <c r="AP65" s="137"/>
      <c r="AQ65" s="133"/>
    </row>
    <row r="66" spans="1:43" ht="20.25" customHeight="1">
      <c r="A66" s="133">
        <v>1</v>
      </c>
      <c r="B66" s="134" t="s">
        <v>145</v>
      </c>
      <c r="C66" s="139" t="s">
        <v>5492</v>
      </c>
      <c r="D66" s="136">
        <v>280</v>
      </c>
      <c r="E66" s="137" t="s">
        <v>145</v>
      </c>
      <c r="F66" s="133">
        <f t="shared" si="5"/>
        <v>280</v>
      </c>
      <c r="AL66" s="133"/>
      <c r="AM66" s="134"/>
      <c r="AN66" s="139"/>
      <c r="AO66" s="136"/>
      <c r="AP66" s="177"/>
      <c r="AQ66" s="133"/>
    </row>
    <row r="67" spans="1:43" ht="20.25" customHeight="1">
      <c r="A67" s="133">
        <v>5</v>
      </c>
      <c r="B67" s="134" t="s">
        <v>3440</v>
      </c>
      <c r="C67" s="139" t="s">
        <v>5949</v>
      </c>
      <c r="D67" s="216">
        <v>10.45</v>
      </c>
      <c r="E67" s="177" t="s">
        <v>3440</v>
      </c>
      <c r="F67" s="133">
        <f t="shared" si="5"/>
        <v>52.25</v>
      </c>
      <c r="AL67" s="133"/>
      <c r="AM67" s="134"/>
      <c r="AN67" s="139"/>
      <c r="AO67" s="136"/>
      <c r="AP67" s="177"/>
      <c r="AQ67" s="133"/>
    </row>
    <row r="68" spans="1:43" ht="30.75" customHeight="1">
      <c r="A68" s="133">
        <v>130.54</v>
      </c>
      <c r="B68" s="134" t="s">
        <v>913</v>
      </c>
      <c r="C68" s="139" t="s">
        <v>5950</v>
      </c>
      <c r="D68" s="216">
        <v>52.5</v>
      </c>
      <c r="E68" s="177" t="s">
        <v>913</v>
      </c>
      <c r="F68" s="133">
        <f t="shared" si="5"/>
        <v>6853.35</v>
      </c>
      <c r="AL68" s="133"/>
      <c r="AM68" s="134"/>
      <c r="AN68" s="139"/>
      <c r="AO68" s="136"/>
      <c r="AP68" s="177"/>
      <c r="AQ68" s="133"/>
    </row>
    <row r="69" spans="1:43" ht="20.25" customHeight="1">
      <c r="A69" s="133">
        <v>5</v>
      </c>
      <c r="B69" s="134" t="s">
        <v>1432</v>
      </c>
      <c r="C69" s="139" t="s">
        <v>5495</v>
      </c>
      <c r="D69" s="217">
        <v>1086</v>
      </c>
      <c r="E69" s="177" t="s">
        <v>1714</v>
      </c>
      <c r="F69" s="133">
        <f t="shared" si="5"/>
        <v>5430</v>
      </c>
      <c r="AL69" s="133"/>
      <c r="AM69" s="134"/>
      <c r="AN69" s="139"/>
      <c r="AO69" s="136"/>
      <c r="AP69" s="177"/>
      <c r="AQ69" s="133"/>
    </row>
    <row r="70" spans="1:43" ht="20.25" customHeight="1">
      <c r="A70" s="133">
        <v>178.92</v>
      </c>
      <c r="B70" s="134" t="s">
        <v>4198</v>
      </c>
      <c r="C70" s="139" t="s">
        <v>5496</v>
      </c>
      <c r="D70" s="136">
        <v>10</v>
      </c>
      <c r="E70" s="177" t="s">
        <v>4200</v>
      </c>
      <c r="F70" s="133">
        <f t="shared" si="5"/>
        <v>1789.2</v>
      </c>
      <c r="AL70" s="133"/>
      <c r="AM70" s="134"/>
      <c r="AN70" s="139"/>
      <c r="AO70" s="136"/>
      <c r="AP70" s="178"/>
      <c r="AQ70" s="133"/>
    </row>
    <row r="71" spans="1:43" ht="20.25" customHeight="1">
      <c r="A71" s="144">
        <v>36</v>
      </c>
      <c r="B71" s="134" t="s">
        <v>4201</v>
      </c>
      <c r="C71" s="139" t="s">
        <v>5951</v>
      </c>
      <c r="D71" s="216">
        <v>60.65</v>
      </c>
      <c r="E71" s="178" t="s">
        <v>4202</v>
      </c>
      <c r="F71" s="133">
        <f t="shared" si="5"/>
        <v>2183.4</v>
      </c>
      <c r="AL71" s="144"/>
      <c r="AM71" s="134"/>
      <c r="AN71" s="139"/>
      <c r="AO71" s="136"/>
      <c r="AP71" s="137"/>
      <c r="AQ71" s="133"/>
    </row>
    <row r="72" spans="1:43" ht="20.25" customHeight="1">
      <c r="A72" s="133"/>
      <c r="B72" s="134"/>
      <c r="C72" s="139" t="s">
        <v>4203</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4204</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4205</v>
      </c>
      <c r="D77" s="136"/>
      <c r="E77" s="137"/>
      <c r="F77" s="133">
        <v>1000</v>
      </c>
      <c r="AL77" s="133"/>
      <c r="AM77" s="134"/>
      <c r="AN77" s="139"/>
      <c r="AO77" s="136"/>
      <c r="AP77" s="137"/>
      <c r="AQ77" s="133"/>
    </row>
    <row r="78" spans="1:43" ht="20.25" customHeight="1">
      <c r="A78" s="133"/>
      <c r="B78" s="134"/>
      <c r="C78" s="139" t="s">
        <v>4206</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4207</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973"/>
      <c r="E82" s="973"/>
      <c r="F82" s="973"/>
    </row>
    <row r="84" spans="1:39" ht="20.25" customHeight="1">
      <c r="A84" s="158"/>
      <c r="B84" s="157"/>
      <c r="C84" s="125" t="s">
        <v>5466</v>
      </c>
      <c r="D84" s="158"/>
      <c r="E84" s="156"/>
      <c r="F84" s="158"/>
    </row>
    <row r="85" spans="1:39" ht="20.25" customHeight="1">
      <c r="A85" s="123"/>
      <c r="B85" s="124"/>
      <c r="C85" s="125" t="s">
        <v>5467</v>
      </c>
      <c r="D85" s="158"/>
      <c r="E85" s="126"/>
      <c r="F85" s="130"/>
    </row>
    <row r="86" spans="1:39" ht="20.25" customHeight="1">
      <c r="A86" s="123"/>
      <c r="B86" s="124"/>
      <c r="C86" s="128" t="s">
        <v>5468</v>
      </c>
      <c r="D86" s="158"/>
      <c r="E86" s="126"/>
      <c r="F86" s="123"/>
    </row>
    <row r="87" spans="1:39" ht="20.25" customHeight="1">
      <c r="A87" s="123"/>
      <c r="B87" s="124"/>
      <c r="C87" s="127" t="s">
        <v>4155</v>
      </c>
      <c r="D87" s="158"/>
      <c r="E87" s="126"/>
      <c r="F87" s="123"/>
    </row>
    <row r="88" spans="1:39" ht="20.25" customHeight="1">
      <c r="A88" s="123"/>
      <c r="B88" s="124"/>
      <c r="C88" s="128" t="s">
        <v>5469</v>
      </c>
      <c r="D88" s="158"/>
      <c r="E88" s="126"/>
      <c r="F88" s="123"/>
    </row>
    <row r="89" spans="1:39" ht="20.25" customHeight="1">
      <c r="A89" s="123"/>
      <c r="B89" s="124"/>
      <c r="C89" s="128" t="s">
        <v>5470</v>
      </c>
      <c r="D89" s="158"/>
      <c r="E89" s="126"/>
      <c r="F89" s="123"/>
    </row>
    <row r="90" spans="1:39" ht="20.25" customHeight="1">
      <c r="A90" s="123"/>
      <c r="B90" s="124"/>
      <c r="C90" s="128" t="s">
        <v>5471</v>
      </c>
      <c r="D90" s="158"/>
      <c r="E90" s="126"/>
      <c r="F90" s="123"/>
    </row>
    <row r="91" spans="1:39" ht="20.25" customHeight="1">
      <c r="A91" s="123"/>
      <c r="B91" s="124"/>
      <c r="C91" s="128" t="s">
        <v>5472</v>
      </c>
      <c r="D91" s="158"/>
      <c r="E91" s="126"/>
      <c r="F91" s="123"/>
    </row>
    <row r="92" spans="1:39" ht="20.25" customHeight="1">
      <c r="A92" s="123"/>
      <c r="B92" s="124"/>
      <c r="C92" s="128" t="s">
        <v>5473</v>
      </c>
      <c r="D92" s="158"/>
      <c r="E92" s="126"/>
      <c r="F92" s="123"/>
    </row>
    <row r="93" spans="1:39" ht="20.25" customHeight="1">
      <c r="A93" s="123"/>
      <c r="B93" s="124"/>
      <c r="C93" s="128" t="s">
        <v>5474</v>
      </c>
      <c r="D93" s="158"/>
      <c r="E93" s="126"/>
      <c r="F93" s="123"/>
    </row>
    <row r="94" spans="1:39" ht="20.25" customHeight="1">
      <c r="A94" s="123"/>
      <c r="B94" s="124"/>
      <c r="C94" s="127"/>
      <c r="D94" s="158"/>
      <c r="E94" s="126"/>
      <c r="F94" s="123"/>
    </row>
    <row r="95" spans="1:39" ht="20.25" customHeight="1">
      <c r="A95" s="123"/>
      <c r="B95" s="124"/>
      <c r="C95" s="128" t="s">
        <v>5475</v>
      </c>
      <c r="D95" s="158"/>
      <c r="E95" s="126"/>
      <c r="F95" s="123"/>
    </row>
    <row r="96" spans="1:39" ht="20.25" customHeight="1">
      <c r="A96" s="179"/>
      <c r="B96" s="124"/>
      <c r="C96" s="127" t="s">
        <v>5476</v>
      </c>
      <c r="D96" s="158"/>
      <c r="E96" s="126"/>
      <c r="F96" s="123"/>
    </row>
    <row r="97" spans="1:6" ht="20.25" customHeight="1">
      <c r="A97" s="123"/>
      <c r="B97" s="124"/>
      <c r="C97" s="128" t="s">
        <v>5778</v>
      </c>
      <c r="D97" s="158"/>
      <c r="E97" s="126"/>
      <c r="F97" s="123"/>
    </row>
    <row r="98" spans="1:6" ht="20.25" customHeight="1">
      <c r="A98" s="132">
        <v>177.37200000000001</v>
      </c>
      <c r="B98" s="124" t="s">
        <v>913</v>
      </c>
      <c r="C98" s="128" t="s">
        <v>5477</v>
      </c>
      <c r="D98" s="158">
        <f>D16</f>
        <v>57.6</v>
      </c>
      <c r="E98" s="126" t="s">
        <v>913</v>
      </c>
      <c r="F98" s="123">
        <f>D98*A98</f>
        <v>10216.629999999999</v>
      </c>
    </row>
    <row r="99" spans="1:6" ht="20.25" customHeight="1">
      <c r="A99" s="179"/>
      <c r="B99" s="124"/>
      <c r="C99" s="127" t="s">
        <v>4163</v>
      </c>
      <c r="D99" s="158">
        <f>D17</f>
        <v>0</v>
      </c>
      <c r="E99" s="126"/>
      <c r="F99" s="123"/>
    </row>
    <row r="100" spans="1:6" ht="20.25" customHeight="1">
      <c r="A100" s="123"/>
      <c r="B100" s="124"/>
      <c r="C100" s="128" t="s">
        <v>4164</v>
      </c>
      <c r="D100" s="158">
        <f>D18</f>
        <v>0</v>
      </c>
      <c r="E100" s="126"/>
      <c r="F100" s="123"/>
    </row>
    <row r="101" spans="1:6" ht="20.25" customHeight="1">
      <c r="A101" s="123"/>
      <c r="B101" s="124"/>
      <c r="C101" s="128" t="s">
        <v>5240</v>
      </c>
      <c r="D101" s="158">
        <f>D19</f>
        <v>0</v>
      </c>
      <c r="E101" s="126"/>
      <c r="F101" s="123"/>
    </row>
    <row r="102" spans="1:6" ht="20.25" customHeight="1">
      <c r="A102" s="123"/>
      <c r="B102" s="124"/>
      <c r="C102" s="128" t="s">
        <v>4166</v>
      </c>
      <c r="D102" s="158">
        <f t="shared" ref="D102:D138" si="6">D21</f>
        <v>0</v>
      </c>
      <c r="E102" s="126"/>
      <c r="F102" s="123"/>
    </row>
    <row r="103" spans="1:6" ht="20.25" customHeight="1">
      <c r="A103" s="123"/>
      <c r="B103" s="124"/>
      <c r="C103" s="128" t="s">
        <v>5239</v>
      </c>
      <c r="D103" s="158">
        <f t="shared" si="6"/>
        <v>0</v>
      </c>
      <c r="E103" s="126"/>
      <c r="F103" s="123"/>
    </row>
    <row r="104" spans="1:6" ht="20.25" customHeight="1">
      <c r="A104" s="123"/>
      <c r="B104" s="124"/>
      <c r="C104" s="128" t="s">
        <v>5238</v>
      </c>
      <c r="D104" s="158">
        <f t="shared" si="6"/>
        <v>0</v>
      </c>
      <c r="E104" s="126"/>
      <c r="F104" s="123"/>
    </row>
    <row r="105" spans="1:6" ht="20.25" customHeight="1">
      <c r="A105" s="123"/>
      <c r="B105" s="124"/>
      <c r="C105" s="128" t="s">
        <v>5237</v>
      </c>
      <c r="D105" s="158">
        <f t="shared" si="6"/>
        <v>0</v>
      </c>
      <c r="E105" s="126"/>
      <c r="F105" s="123"/>
    </row>
    <row r="106" spans="1:6" ht="20.25" customHeight="1">
      <c r="A106" s="123"/>
      <c r="B106" s="124"/>
      <c r="C106" s="128" t="s">
        <v>5236</v>
      </c>
      <c r="D106" s="158">
        <f t="shared" si="6"/>
        <v>0</v>
      </c>
      <c r="E106" s="126"/>
      <c r="F106" s="123"/>
    </row>
    <row r="107" spans="1:6" ht="20.25" customHeight="1">
      <c r="A107" s="123">
        <v>22.2</v>
      </c>
      <c r="B107" s="124" t="s">
        <v>913</v>
      </c>
      <c r="C107" s="128" t="s">
        <v>4171</v>
      </c>
      <c r="D107" s="158">
        <f t="shared" si="6"/>
        <v>57.6</v>
      </c>
      <c r="E107" s="126" t="s">
        <v>913</v>
      </c>
      <c r="F107" s="123">
        <f>SUM(A107*D107)</f>
        <v>1278.72</v>
      </c>
    </row>
    <row r="108" spans="1:6" ht="20.25" customHeight="1">
      <c r="A108" s="123"/>
      <c r="B108" s="124"/>
      <c r="C108" s="127" t="s">
        <v>4172</v>
      </c>
      <c r="D108" s="158">
        <f t="shared" si="6"/>
        <v>0</v>
      </c>
      <c r="E108" s="126"/>
      <c r="F108" s="123"/>
    </row>
    <row r="109" spans="1:6" ht="20.25" customHeight="1">
      <c r="A109" s="123"/>
      <c r="B109" s="124"/>
      <c r="C109" s="128" t="s">
        <v>4173</v>
      </c>
      <c r="D109" s="158">
        <f t="shared" si="6"/>
        <v>0</v>
      </c>
      <c r="E109" s="126"/>
      <c r="F109" s="123"/>
    </row>
    <row r="110" spans="1:6" ht="20.25" customHeight="1">
      <c r="A110" s="123"/>
      <c r="B110" s="124"/>
      <c r="C110" s="128" t="s">
        <v>4174</v>
      </c>
      <c r="D110" s="158">
        <f t="shared" si="6"/>
        <v>0</v>
      </c>
      <c r="E110" s="126"/>
      <c r="F110" s="123"/>
    </row>
    <row r="111" spans="1:6" ht="20.25" customHeight="1">
      <c r="A111" s="123"/>
      <c r="B111" s="124"/>
      <c r="C111" s="128" t="s">
        <v>5235</v>
      </c>
      <c r="D111" s="158">
        <f t="shared" si="6"/>
        <v>0</v>
      </c>
      <c r="E111" s="126"/>
      <c r="F111" s="123"/>
    </row>
    <row r="112" spans="1:6" ht="20.25" customHeight="1">
      <c r="A112" s="123"/>
      <c r="B112" s="124"/>
      <c r="C112" s="128" t="s">
        <v>4176</v>
      </c>
      <c r="D112" s="158">
        <f t="shared" si="6"/>
        <v>0</v>
      </c>
      <c r="E112" s="126"/>
      <c r="F112" s="123"/>
    </row>
    <row r="113" spans="1:6" ht="20.25" customHeight="1">
      <c r="A113" s="123"/>
      <c r="B113" s="124"/>
      <c r="C113" s="128" t="s">
        <v>4177</v>
      </c>
      <c r="D113" s="158">
        <f t="shared" si="6"/>
        <v>0</v>
      </c>
      <c r="E113" s="126"/>
      <c r="F113" s="123"/>
    </row>
    <row r="114" spans="1:6" ht="20.25" customHeight="1">
      <c r="A114" s="123"/>
      <c r="B114" s="124"/>
      <c r="C114" s="128" t="s">
        <v>4178</v>
      </c>
      <c r="D114" s="158">
        <f t="shared" si="6"/>
        <v>0</v>
      </c>
      <c r="E114" s="126"/>
      <c r="F114" s="123"/>
    </row>
    <row r="115" spans="1:6" ht="20.25" customHeight="1">
      <c r="A115" s="123"/>
      <c r="B115" s="124"/>
      <c r="C115" s="128" t="s">
        <v>5234</v>
      </c>
      <c r="D115" s="158">
        <f t="shared" si="6"/>
        <v>0</v>
      </c>
      <c r="E115" s="126"/>
      <c r="F115" s="123"/>
    </row>
    <row r="116" spans="1:6" ht="20.25" customHeight="1">
      <c r="A116" s="123"/>
      <c r="B116" s="124"/>
      <c r="C116" s="128" t="s">
        <v>4180</v>
      </c>
      <c r="D116" s="158">
        <f t="shared" si="6"/>
        <v>0</v>
      </c>
      <c r="E116" s="126"/>
      <c r="F116" s="123"/>
    </row>
    <row r="117" spans="1:6" ht="20.25" customHeight="1">
      <c r="A117" s="123"/>
      <c r="B117" s="124"/>
      <c r="C117" s="128" t="s">
        <v>4181</v>
      </c>
      <c r="D117" s="158">
        <f t="shared" si="6"/>
        <v>0</v>
      </c>
      <c r="E117" s="126"/>
      <c r="F117" s="123"/>
    </row>
    <row r="118" spans="1:6" ht="20.25" customHeight="1">
      <c r="A118" s="123"/>
      <c r="B118" s="124"/>
      <c r="C118" s="128" t="s">
        <v>4182</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5233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5478</v>
      </c>
      <c r="D122" s="158">
        <f t="shared" si="6"/>
        <v>562</v>
      </c>
      <c r="E122" s="126" t="s">
        <v>913</v>
      </c>
      <c r="F122" s="123">
        <f>SUM(A122*D122)</f>
        <v>5372.72</v>
      </c>
    </row>
    <row r="123" spans="1:6" ht="20.25" customHeight="1">
      <c r="A123" s="123">
        <f>A122</f>
        <v>9.56</v>
      </c>
      <c r="B123" s="124" t="s">
        <v>913</v>
      </c>
      <c r="C123" s="128" t="s">
        <v>5479</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4185</v>
      </c>
      <c r="D125" s="158">
        <f t="shared" si="6"/>
        <v>0</v>
      </c>
      <c r="E125" s="126"/>
      <c r="F125" s="123"/>
    </row>
    <row r="126" spans="1:6" ht="20.25" customHeight="1">
      <c r="A126" s="123"/>
      <c r="B126" s="124"/>
      <c r="C126" s="128" t="s">
        <v>4186</v>
      </c>
      <c r="D126" s="158">
        <f t="shared" si="6"/>
        <v>0</v>
      </c>
      <c r="E126" s="126"/>
      <c r="F126" s="123"/>
    </row>
    <row r="127" spans="1:6" ht="20.25" customHeight="1">
      <c r="A127" s="123"/>
      <c r="B127" s="124"/>
      <c r="C127" s="128" t="s">
        <v>5480</v>
      </c>
      <c r="D127" s="158">
        <f t="shared" si="6"/>
        <v>0</v>
      </c>
      <c r="E127" s="126"/>
      <c r="F127" s="123"/>
    </row>
    <row r="128" spans="1:6" ht="20.25" customHeight="1">
      <c r="A128" s="123"/>
      <c r="B128" s="124"/>
      <c r="C128" s="128" t="s">
        <v>5481</v>
      </c>
      <c r="D128" s="158">
        <f t="shared" si="6"/>
        <v>0</v>
      </c>
      <c r="E128" s="126"/>
      <c r="F128" s="123"/>
    </row>
    <row r="129" spans="1:6" ht="20.25" customHeight="1">
      <c r="A129" s="123">
        <v>8</v>
      </c>
      <c r="B129" s="124" t="s">
        <v>826</v>
      </c>
      <c r="C129" s="128" t="s">
        <v>5482</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4189</v>
      </c>
      <c r="D131" s="158">
        <f t="shared" si="6"/>
        <v>0</v>
      </c>
      <c r="E131" s="126"/>
      <c r="F131" s="123"/>
    </row>
    <row r="132" spans="1:6" ht="20.25" customHeight="1">
      <c r="A132" s="123">
        <v>3</v>
      </c>
      <c r="B132" s="124" t="s">
        <v>1030</v>
      </c>
      <c r="C132" s="128" t="s">
        <v>5483</v>
      </c>
      <c r="D132" s="158">
        <v>696.43</v>
      </c>
      <c r="E132" s="126" t="s">
        <v>1398</v>
      </c>
      <c r="F132" s="123">
        <f t="shared" si="7"/>
        <v>2089.29</v>
      </c>
    </row>
    <row r="133" spans="1:6" ht="20.25" customHeight="1">
      <c r="A133" s="123">
        <v>1</v>
      </c>
      <c r="B133" s="124" t="s">
        <v>1030</v>
      </c>
      <c r="C133" s="128" t="s">
        <v>5779</v>
      </c>
      <c r="D133" s="158">
        <f t="shared" si="6"/>
        <v>77.599999999999994</v>
      </c>
      <c r="E133" s="126" t="s">
        <v>1398</v>
      </c>
      <c r="F133" s="123">
        <f t="shared" si="7"/>
        <v>77.599999999999994</v>
      </c>
    </row>
    <row r="134" spans="1:6" ht="20.25" customHeight="1">
      <c r="A134" s="123">
        <v>24</v>
      </c>
      <c r="B134" s="124" t="s">
        <v>1030</v>
      </c>
      <c r="C134" s="128" t="s">
        <v>5999</v>
      </c>
      <c r="D134" s="158">
        <f t="shared" si="6"/>
        <v>190.2</v>
      </c>
      <c r="E134" s="126" t="s">
        <v>1398</v>
      </c>
      <c r="F134" s="123">
        <f t="shared" si="7"/>
        <v>4564.8</v>
      </c>
    </row>
    <row r="135" spans="1:6" ht="20.25" customHeight="1">
      <c r="A135" s="123">
        <v>1</v>
      </c>
      <c r="B135" s="124" t="s">
        <v>560</v>
      </c>
      <c r="C135" s="128" t="s">
        <v>6000</v>
      </c>
      <c r="D135" s="158">
        <f t="shared" si="6"/>
        <v>85.2</v>
      </c>
      <c r="E135" s="126" t="s">
        <v>1398</v>
      </c>
      <c r="F135" s="123">
        <f t="shared" si="7"/>
        <v>85.2</v>
      </c>
    </row>
    <row r="136" spans="1:6" ht="20.25" customHeight="1">
      <c r="A136" s="123">
        <v>8</v>
      </c>
      <c r="B136" s="124" t="s">
        <v>1030</v>
      </c>
      <c r="C136" s="128" t="s">
        <v>5485</v>
      </c>
      <c r="D136" s="158">
        <f t="shared" si="6"/>
        <v>67.8</v>
      </c>
      <c r="E136" s="126" t="s">
        <v>1398</v>
      </c>
      <c r="F136" s="123">
        <f t="shared" si="7"/>
        <v>542.4</v>
      </c>
    </row>
    <row r="137" spans="1:6" ht="20.25" customHeight="1">
      <c r="A137" s="123">
        <v>1</v>
      </c>
      <c r="B137" s="124" t="s">
        <v>1030</v>
      </c>
      <c r="C137" s="128" t="s">
        <v>5486</v>
      </c>
      <c r="D137" s="158">
        <f t="shared" si="6"/>
        <v>38</v>
      </c>
      <c r="E137" s="126" t="s">
        <v>1398</v>
      </c>
      <c r="F137" s="123">
        <f t="shared" si="7"/>
        <v>38</v>
      </c>
    </row>
    <row r="138" spans="1:6" ht="20.25" customHeight="1">
      <c r="A138" s="123">
        <v>8</v>
      </c>
      <c r="B138" s="124" t="s">
        <v>560</v>
      </c>
      <c r="C138" s="128" t="s">
        <v>5946</v>
      </c>
      <c r="D138" s="158">
        <f t="shared" si="6"/>
        <v>580</v>
      </c>
      <c r="E138" s="126" t="s">
        <v>1398</v>
      </c>
      <c r="F138" s="123">
        <f t="shared" si="7"/>
        <v>4640</v>
      </c>
    </row>
    <row r="139" spans="1:6" ht="20.25" customHeight="1">
      <c r="A139" s="123">
        <v>1</v>
      </c>
      <c r="B139" s="124" t="s">
        <v>560</v>
      </c>
      <c r="C139" s="128" t="s">
        <v>5947</v>
      </c>
      <c r="D139" s="158">
        <f t="shared" ref="C139:D151" si="8">D59</f>
        <v>258</v>
      </c>
      <c r="E139" s="126" t="s">
        <v>1398</v>
      </c>
      <c r="F139" s="123">
        <f t="shared" si="7"/>
        <v>258</v>
      </c>
    </row>
    <row r="140" spans="1:6" ht="20.25" customHeight="1">
      <c r="A140" s="180">
        <v>836</v>
      </c>
      <c r="B140" s="126" t="s">
        <v>4191</v>
      </c>
      <c r="C140" s="128" t="s">
        <v>5487</v>
      </c>
      <c r="D140" s="158">
        <f t="shared" si="8"/>
        <v>1</v>
      </c>
      <c r="E140" s="126" t="s">
        <v>4191</v>
      </c>
      <c r="F140" s="123">
        <f t="shared" si="7"/>
        <v>836</v>
      </c>
    </row>
    <row r="141" spans="1:6" ht="20.25" customHeight="1">
      <c r="A141" s="123"/>
      <c r="B141" s="124"/>
      <c r="C141" s="128" t="s">
        <v>4193</v>
      </c>
      <c r="D141" s="158">
        <f t="shared" si="8"/>
        <v>0</v>
      </c>
      <c r="E141" s="126"/>
      <c r="F141" s="123"/>
    </row>
    <row r="142" spans="1:6" ht="20.25" customHeight="1">
      <c r="A142" s="123"/>
      <c r="B142" s="124"/>
      <c r="C142" s="128" t="s">
        <v>5488</v>
      </c>
      <c r="D142" s="158">
        <f t="shared" si="8"/>
        <v>0</v>
      </c>
      <c r="E142" s="126"/>
      <c r="F142" s="123"/>
    </row>
    <row r="143" spans="1:6" ht="20.25" customHeight="1">
      <c r="A143" s="123">
        <v>31.4</v>
      </c>
      <c r="B143" s="124" t="s">
        <v>826</v>
      </c>
      <c r="C143" s="128" t="s">
        <v>5489</v>
      </c>
      <c r="D143" s="158">
        <f t="shared" si="8"/>
        <v>20</v>
      </c>
      <c r="E143" s="126" t="s">
        <v>826</v>
      </c>
      <c r="F143" s="123">
        <f t="shared" si="7"/>
        <v>628</v>
      </c>
    </row>
    <row r="144" spans="1:6" ht="20.25" customHeight="1">
      <c r="A144" s="123">
        <v>1.1000000000000001</v>
      </c>
      <c r="B144" s="124" t="s">
        <v>5544</v>
      </c>
      <c r="C144" s="128" t="s">
        <v>5948</v>
      </c>
      <c r="D144" s="158">
        <f t="shared" si="8"/>
        <v>1322</v>
      </c>
      <c r="E144" s="129" t="s">
        <v>5544</v>
      </c>
      <c r="F144" s="123">
        <f t="shared" si="7"/>
        <v>1454.2</v>
      </c>
    </row>
    <row r="145" spans="1:6" ht="20.25" customHeight="1">
      <c r="A145" s="123">
        <v>9</v>
      </c>
      <c r="B145" s="124" t="s">
        <v>1432</v>
      </c>
      <c r="C145" s="128" t="s">
        <v>5491</v>
      </c>
      <c r="D145" s="158">
        <f t="shared" si="8"/>
        <v>20</v>
      </c>
      <c r="E145" s="126" t="s">
        <v>1714</v>
      </c>
      <c r="F145" s="123">
        <f t="shared" si="7"/>
        <v>180</v>
      </c>
    </row>
    <row r="146" spans="1:6" ht="20.25" customHeight="1">
      <c r="A146" s="123">
        <v>1</v>
      </c>
      <c r="B146" s="124" t="s">
        <v>145</v>
      </c>
      <c r="C146" s="128" t="s">
        <v>5492</v>
      </c>
      <c r="D146" s="158">
        <f t="shared" si="8"/>
        <v>280</v>
      </c>
      <c r="E146" s="126" t="s">
        <v>145</v>
      </c>
      <c r="F146" s="123">
        <f t="shared" si="7"/>
        <v>280</v>
      </c>
    </row>
    <row r="147" spans="1:6" ht="20.25" customHeight="1">
      <c r="A147" s="123">
        <v>5</v>
      </c>
      <c r="B147" s="124" t="s">
        <v>3440</v>
      </c>
      <c r="C147" s="128" t="s">
        <v>5958</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5495</v>
      </c>
      <c r="D149" s="158">
        <f t="shared" si="8"/>
        <v>1086</v>
      </c>
      <c r="E149" s="129" t="s">
        <v>1714</v>
      </c>
      <c r="F149" s="123">
        <f t="shared" si="7"/>
        <v>9774</v>
      </c>
    </row>
    <row r="150" spans="1:6" ht="20.25" customHeight="1">
      <c r="A150" s="123">
        <v>275.64</v>
      </c>
      <c r="B150" s="124" t="s">
        <v>4198</v>
      </c>
      <c r="C150" s="128" t="s">
        <v>5496</v>
      </c>
      <c r="D150" s="158">
        <f t="shared" si="8"/>
        <v>10</v>
      </c>
      <c r="E150" s="129" t="s">
        <v>4200</v>
      </c>
      <c r="F150" s="123">
        <f t="shared" si="7"/>
        <v>2756.4</v>
      </c>
    </row>
    <row r="151" spans="1:6" ht="20.25" customHeight="1">
      <c r="A151" s="179">
        <v>68</v>
      </c>
      <c r="B151" s="124" t="s">
        <v>4201</v>
      </c>
      <c r="C151" s="167" t="s">
        <v>5780</v>
      </c>
      <c r="D151" s="158">
        <f t="shared" si="8"/>
        <v>60.65</v>
      </c>
      <c r="E151" s="156" t="s">
        <v>4202</v>
      </c>
      <c r="F151" s="123">
        <f t="shared" si="7"/>
        <v>4124.2</v>
      </c>
    </row>
    <row r="152" spans="1:6" ht="20.25" customHeight="1">
      <c r="A152" s="123"/>
      <c r="B152" s="124"/>
      <c r="C152" s="128" t="s">
        <v>4203</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4204</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4205</v>
      </c>
      <c r="D157" s="158"/>
      <c r="E157" s="126"/>
      <c r="F157" s="123">
        <v>1000</v>
      </c>
    </row>
    <row r="158" spans="1:6" ht="20.25" customHeight="1">
      <c r="A158" s="123"/>
      <c r="B158" s="124"/>
      <c r="C158" s="128" t="s">
        <v>4206</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4207</v>
      </c>
    </row>
    <row r="161" spans="1:6" ht="20.25" customHeight="1">
      <c r="A161" s="123"/>
      <c r="B161" s="124"/>
      <c r="C161" s="128"/>
      <c r="D161" s="158"/>
      <c r="E161" s="126"/>
      <c r="F161" s="130">
        <v>60300</v>
      </c>
    </row>
    <row r="162" spans="1:6" ht="20.25" customHeight="1">
      <c r="A162" s="120"/>
      <c r="B162" s="120"/>
      <c r="C162" s="120"/>
      <c r="D162" s="974"/>
      <c r="E162" s="974"/>
      <c r="F162" s="974"/>
    </row>
    <row r="165" spans="1:6" ht="20.25" customHeight="1">
      <c r="A165" s="133"/>
      <c r="B165" s="134"/>
      <c r="C165" s="135" t="s">
        <v>5497</v>
      </c>
      <c r="D165" s="136"/>
      <c r="E165" s="137"/>
      <c r="F165" s="138"/>
    </row>
    <row r="166" spans="1:6" ht="20.25" customHeight="1">
      <c r="A166" s="133"/>
      <c r="B166" s="134"/>
      <c r="C166" s="139" t="s">
        <v>5498</v>
      </c>
      <c r="D166" s="136"/>
      <c r="E166" s="137"/>
      <c r="F166" s="133"/>
    </row>
    <row r="167" spans="1:6" ht="20.25" customHeight="1">
      <c r="A167" s="133"/>
      <c r="B167" s="134"/>
      <c r="C167" s="140" t="s">
        <v>4155</v>
      </c>
      <c r="D167" s="136"/>
      <c r="E167" s="137"/>
      <c r="F167" s="133"/>
    </row>
    <row r="168" spans="1:6" ht="20.25" customHeight="1">
      <c r="A168" s="133"/>
      <c r="B168" s="134"/>
      <c r="C168" s="139" t="s">
        <v>5510</v>
      </c>
      <c r="D168" s="141">
        <f>4.5*6.42*2</f>
        <v>57.78</v>
      </c>
      <c r="E168" s="142"/>
      <c r="F168" s="143"/>
    </row>
    <row r="169" spans="1:6" ht="20.25" customHeight="1">
      <c r="A169" s="133"/>
      <c r="B169" s="134"/>
      <c r="C169" s="139" t="s">
        <v>5511</v>
      </c>
      <c r="D169" s="141">
        <f>4.5*1*2</f>
        <v>9</v>
      </c>
      <c r="E169" s="142">
        <f>5/12</f>
        <v>0.42</v>
      </c>
      <c r="F169" s="143"/>
    </row>
    <row r="170" spans="1:6" ht="20.25" customHeight="1">
      <c r="A170" s="133"/>
      <c r="B170" s="134"/>
      <c r="C170" s="139" t="s">
        <v>5512</v>
      </c>
      <c r="D170" s="141">
        <f>4.5*1*2</f>
        <v>9</v>
      </c>
      <c r="E170" s="142"/>
      <c r="F170" s="143"/>
    </row>
    <row r="171" spans="1:6" ht="20.25" customHeight="1">
      <c r="A171" s="133"/>
      <c r="B171" s="134"/>
      <c r="C171" s="139" t="s">
        <v>5244</v>
      </c>
      <c r="D171" s="141">
        <f>6.42*1*2</f>
        <v>12.84</v>
      </c>
      <c r="E171" s="142"/>
      <c r="F171" s="143"/>
    </row>
    <row r="172" spans="1:6" ht="20.25" customHeight="1">
      <c r="A172" s="133"/>
      <c r="B172" s="134"/>
      <c r="C172" s="139" t="s">
        <v>5243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5242</v>
      </c>
      <c r="D174" s="141">
        <f>SUM(D172:D173)</f>
        <v>97.48</v>
      </c>
      <c r="E174" s="142"/>
      <c r="F174" s="143"/>
    </row>
    <row r="175" spans="1:6" ht="20.25" customHeight="1">
      <c r="A175" s="144"/>
      <c r="B175" s="134"/>
      <c r="C175" s="140" t="s">
        <v>5241</v>
      </c>
      <c r="D175" s="141">
        <f>D174*1.17</f>
        <v>114.05</v>
      </c>
      <c r="E175" s="142"/>
      <c r="F175" s="143"/>
    </row>
    <row r="176" spans="1:6" ht="20.25" customHeight="1">
      <c r="A176" s="133"/>
      <c r="B176" s="134"/>
      <c r="C176" s="139" t="s">
        <v>5591</v>
      </c>
      <c r="D176" s="136"/>
      <c r="E176" s="137"/>
      <c r="F176" s="133"/>
    </row>
    <row r="177" spans="1:6" ht="20.25" customHeight="1">
      <c r="A177" s="133"/>
      <c r="B177" s="134"/>
      <c r="C177" s="139"/>
      <c r="D177" s="136"/>
      <c r="E177" s="137"/>
      <c r="F177" s="133"/>
    </row>
    <row r="178" spans="1:6" ht="20.25" customHeight="1">
      <c r="A178" s="133">
        <v>117.37</v>
      </c>
      <c r="B178" s="134" t="s">
        <v>913</v>
      </c>
      <c r="C178" s="139" t="s">
        <v>5499</v>
      </c>
      <c r="D178" s="136">
        <f>D16</f>
        <v>57.6</v>
      </c>
      <c r="E178" s="137" t="s">
        <v>913</v>
      </c>
      <c r="F178" s="133">
        <f>D178*A178</f>
        <v>6760.51</v>
      </c>
    </row>
    <row r="179" spans="1:6" ht="20.25" customHeight="1">
      <c r="A179" s="144"/>
      <c r="B179" s="134"/>
      <c r="C179" s="140" t="s">
        <v>4163</v>
      </c>
      <c r="D179" s="136"/>
      <c r="E179" s="137"/>
      <c r="F179" s="133"/>
    </row>
    <row r="180" spans="1:6" ht="20.25" customHeight="1">
      <c r="A180" s="133"/>
      <c r="B180" s="134"/>
      <c r="C180" s="139" t="s">
        <v>4164</v>
      </c>
      <c r="D180" s="136"/>
      <c r="E180" s="137"/>
      <c r="F180" s="133"/>
    </row>
    <row r="181" spans="1:6" ht="20.25" customHeight="1">
      <c r="A181" s="133"/>
      <c r="B181" s="134"/>
      <c r="C181" s="139" t="s">
        <v>5240</v>
      </c>
      <c r="D181" s="136"/>
      <c r="E181" s="137"/>
      <c r="F181" s="133"/>
    </row>
    <row r="182" spans="1:6" ht="20.25" customHeight="1">
      <c r="A182" s="133"/>
      <c r="B182" s="134"/>
      <c r="C182" s="139" t="s">
        <v>4166</v>
      </c>
      <c r="D182" s="136"/>
      <c r="E182" s="137"/>
      <c r="F182" s="133"/>
    </row>
    <row r="183" spans="1:6" ht="20.25" customHeight="1">
      <c r="A183" s="133"/>
      <c r="B183" s="134"/>
      <c r="C183" s="139" t="s">
        <v>5239</v>
      </c>
      <c r="D183" s="136"/>
      <c r="E183" s="137"/>
      <c r="F183" s="133"/>
    </row>
    <row r="184" spans="1:6" ht="20.25" customHeight="1">
      <c r="A184" s="133"/>
      <c r="B184" s="134"/>
      <c r="C184" s="139" t="s">
        <v>5238</v>
      </c>
      <c r="D184" s="136"/>
      <c r="E184" s="137"/>
      <c r="F184" s="133"/>
    </row>
    <row r="185" spans="1:6" ht="20.25" customHeight="1">
      <c r="A185" s="133"/>
      <c r="B185" s="134"/>
      <c r="C185" s="139" t="s">
        <v>5237</v>
      </c>
      <c r="D185" s="136"/>
      <c r="E185" s="137"/>
      <c r="F185" s="133"/>
    </row>
    <row r="186" spans="1:6" ht="20.25" customHeight="1">
      <c r="A186" s="133"/>
      <c r="B186" s="134"/>
      <c r="C186" s="139" t="s">
        <v>5236</v>
      </c>
      <c r="D186" s="136"/>
      <c r="E186" s="137"/>
      <c r="F186" s="133"/>
    </row>
    <row r="187" spans="1:6" ht="20.25" customHeight="1">
      <c r="A187" s="133">
        <v>67.23</v>
      </c>
      <c r="B187" s="134" t="s">
        <v>913</v>
      </c>
      <c r="C187" s="139" t="s">
        <v>5500</v>
      </c>
      <c r="D187" s="136">
        <f>D178</f>
        <v>57.6</v>
      </c>
      <c r="E187" s="137" t="s">
        <v>913</v>
      </c>
      <c r="F187" s="133">
        <f>SUM(A187*D187)</f>
        <v>3872.45</v>
      </c>
    </row>
    <row r="188" spans="1:6" ht="20.25" customHeight="1">
      <c r="A188" s="133"/>
      <c r="B188" s="134"/>
      <c r="C188" s="140" t="s">
        <v>4172</v>
      </c>
      <c r="D188" s="136"/>
      <c r="E188" s="137"/>
      <c r="F188" s="133"/>
    </row>
    <row r="189" spans="1:6" ht="20.25" customHeight="1">
      <c r="A189" s="133"/>
      <c r="B189" s="134"/>
      <c r="C189" s="139" t="s">
        <v>4173</v>
      </c>
      <c r="D189" s="136"/>
      <c r="E189" s="137"/>
      <c r="F189" s="133"/>
    </row>
    <row r="190" spans="1:6" ht="20.25" customHeight="1">
      <c r="A190" s="133"/>
      <c r="B190" s="134"/>
      <c r="C190" s="139" t="s">
        <v>4174</v>
      </c>
      <c r="D190" s="136"/>
      <c r="E190" s="137"/>
      <c r="F190" s="133"/>
    </row>
    <row r="191" spans="1:6" ht="20.25" customHeight="1">
      <c r="A191" s="133"/>
      <c r="B191" s="134"/>
      <c r="C191" s="139" t="s">
        <v>5501</v>
      </c>
      <c r="D191" s="136"/>
      <c r="E191" s="137"/>
      <c r="F191" s="133"/>
    </row>
    <row r="192" spans="1:6" ht="20.25" customHeight="1">
      <c r="A192" s="133"/>
      <c r="B192" s="134"/>
      <c r="C192" s="139" t="s">
        <v>4176</v>
      </c>
      <c r="D192" s="136"/>
      <c r="E192" s="137"/>
      <c r="F192" s="133"/>
    </row>
    <row r="193" spans="1:6" ht="20.25" customHeight="1">
      <c r="A193" s="133"/>
      <c r="B193" s="134"/>
      <c r="C193" s="139" t="s">
        <v>4177</v>
      </c>
      <c r="D193" s="136"/>
      <c r="E193" s="137"/>
      <c r="F193" s="133"/>
    </row>
    <row r="194" spans="1:6" ht="20.25" customHeight="1">
      <c r="A194" s="133"/>
      <c r="B194" s="134"/>
      <c r="C194" s="139" t="s">
        <v>4178</v>
      </c>
      <c r="D194" s="136"/>
      <c r="E194" s="137"/>
      <c r="F194" s="133"/>
    </row>
    <row r="195" spans="1:6" ht="20.25" customHeight="1">
      <c r="A195" s="133"/>
      <c r="B195" s="134"/>
      <c r="C195" s="139" t="s">
        <v>5502</v>
      </c>
      <c r="D195" s="136"/>
      <c r="E195" s="137"/>
      <c r="F195" s="133"/>
    </row>
    <row r="196" spans="1:6" ht="20.25" customHeight="1">
      <c r="A196" s="133"/>
      <c r="B196" s="134"/>
      <c r="C196" s="139" t="s">
        <v>4180</v>
      </c>
      <c r="D196" s="136"/>
      <c r="E196" s="137"/>
      <c r="F196" s="133"/>
    </row>
    <row r="197" spans="1:6" ht="20.25" customHeight="1">
      <c r="A197" s="133"/>
      <c r="B197" s="134"/>
      <c r="C197" s="139" t="s">
        <v>4181</v>
      </c>
      <c r="D197" s="136"/>
      <c r="E197" s="137"/>
      <c r="F197" s="133"/>
    </row>
    <row r="198" spans="1:6" ht="20.25" customHeight="1">
      <c r="A198" s="133"/>
      <c r="B198" s="134"/>
      <c r="C198" s="139" t="s">
        <v>4182</v>
      </c>
      <c r="D198" s="136"/>
      <c r="E198" s="137"/>
      <c r="F198" s="133"/>
    </row>
    <row r="199" spans="1:6" ht="20.25" customHeight="1">
      <c r="A199" s="133"/>
      <c r="B199" s="134"/>
      <c r="C199" s="139"/>
      <c r="D199" s="136"/>
      <c r="E199" s="137"/>
      <c r="F199" s="133"/>
    </row>
    <row r="200" spans="1:6" ht="20.25" customHeight="1">
      <c r="A200" s="133"/>
      <c r="B200" s="134"/>
      <c r="C200" s="139" t="s">
        <v>5503</v>
      </c>
      <c r="D200" s="136"/>
      <c r="E200" s="137"/>
      <c r="F200" s="133"/>
    </row>
    <row r="201" spans="1:6" ht="20.25" customHeight="1">
      <c r="A201" s="133"/>
      <c r="B201" s="134"/>
      <c r="C201" s="139"/>
      <c r="D201" s="136"/>
      <c r="E201" s="137"/>
      <c r="F201" s="133"/>
    </row>
    <row r="202" spans="1:6" ht="20.25" customHeight="1">
      <c r="A202" s="133">
        <v>6.2</v>
      </c>
      <c r="B202" s="134" t="s">
        <v>913</v>
      </c>
      <c r="C202" s="139" t="s">
        <v>5504</v>
      </c>
      <c r="D202" s="136">
        <f>D122</f>
        <v>562</v>
      </c>
      <c r="E202" s="137" t="s">
        <v>913</v>
      </c>
      <c r="F202" s="133">
        <f>SUM(A202*D202)</f>
        <v>3484.4</v>
      </c>
    </row>
    <row r="203" spans="1:6" ht="20.25" customHeight="1">
      <c r="A203" s="133">
        <v>6.2</v>
      </c>
      <c r="B203" s="134" t="s">
        <v>913</v>
      </c>
      <c r="C203" s="139" t="s">
        <v>5505</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4185</v>
      </c>
      <c r="D205" s="136">
        <f t="shared" si="9"/>
        <v>0</v>
      </c>
      <c r="E205" s="137"/>
      <c r="F205" s="133"/>
    </row>
    <row r="206" spans="1:6" ht="20.25" customHeight="1">
      <c r="A206" s="133"/>
      <c r="B206" s="134"/>
      <c r="C206" s="139" t="s">
        <v>4186</v>
      </c>
      <c r="D206" s="136">
        <f t="shared" si="9"/>
        <v>0</v>
      </c>
      <c r="E206" s="137"/>
      <c r="F206" s="133"/>
    </row>
    <row r="207" spans="1:6" ht="20.25" customHeight="1">
      <c r="A207" s="133"/>
      <c r="B207" s="134"/>
      <c r="C207" s="139" t="s">
        <v>5506</v>
      </c>
      <c r="D207" s="136">
        <f t="shared" si="9"/>
        <v>0</v>
      </c>
      <c r="E207" s="137"/>
      <c r="F207" s="133"/>
    </row>
    <row r="208" spans="1:6" ht="20.25" customHeight="1">
      <c r="A208" s="133"/>
      <c r="B208" s="134"/>
      <c r="C208" s="139" t="s">
        <v>5507</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5508</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5952</v>
      </c>
      <c r="D217" s="136">
        <v>843</v>
      </c>
      <c r="E217" s="137" t="s">
        <v>1398</v>
      </c>
      <c r="F217" s="133">
        <f t="shared" si="11"/>
        <v>3372</v>
      </c>
    </row>
    <row r="218" spans="1:6" ht="20.25" customHeight="1">
      <c r="A218" s="133">
        <v>1</v>
      </c>
      <c r="B218" s="134" t="s">
        <v>560</v>
      </c>
      <c r="C218" s="139" t="s">
        <v>5953</v>
      </c>
      <c r="D218" s="136">
        <v>428</v>
      </c>
      <c r="E218" s="137" t="s">
        <v>1398</v>
      </c>
      <c r="F218" s="133">
        <f t="shared" si="11"/>
        <v>428</v>
      </c>
    </row>
    <row r="219" spans="1:6" ht="20.25" customHeight="1">
      <c r="A219" s="176">
        <v>515</v>
      </c>
      <c r="B219" s="137" t="s">
        <v>4191</v>
      </c>
      <c r="C219" s="139" t="s">
        <v>5487</v>
      </c>
      <c r="D219" s="136">
        <f>D60</f>
        <v>1</v>
      </c>
      <c r="E219" s="137" t="s">
        <v>4191</v>
      </c>
      <c r="F219" s="133">
        <f t="shared" si="11"/>
        <v>515</v>
      </c>
    </row>
    <row r="220" spans="1:6" ht="20.25" customHeight="1">
      <c r="A220" s="133"/>
      <c r="B220" s="134"/>
      <c r="C220" s="139" t="s">
        <v>4193</v>
      </c>
      <c r="D220" s="136">
        <f>D61</f>
        <v>0</v>
      </c>
      <c r="E220" s="137"/>
      <c r="F220" s="133"/>
    </row>
    <row r="221" spans="1:6" ht="20.25" customHeight="1">
      <c r="A221" s="133">
        <v>1.27</v>
      </c>
      <c r="B221" s="134" t="s">
        <v>5544</v>
      </c>
      <c r="C221" s="139" t="s">
        <v>5490</v>
      </c>
      <c r="D221" s="136">
        <f t="shared" ref="D221:D228" si="12">D64</f>
        <v>1322</v>
      </c>
      <c r="E221" s="177" t="s">
        <v>5544</v>
      </c>
      <c r="F221" s="133">
        <f t="shared" ref="F221:F228" si="13">SUM(A221*D221)</f>
        <v>1678.94</v>
      </c>
    </row>
    <row r="222" spans="1:6" ht="20.25" customHeight="1">
      <c r="A222" s="133">
        <v>12</v>
      </c>
      <c r="B222" s="134" t="s">
        <v>1432</v>
      </c>
      <c r="C222" s="139" t="s">
        <v>5491</v>
      </c>
      <c r="D222" s="136">
        <f t="shared" si="12"/>
        <v>20</v>
      </c>
      <c r="E222" s="137" t="s">
        <v>1714</v>
      </c>
      <c r="F222" s="133">
        <f t="shared" si="13"/>
        <v>240</v>
      </c>
    </row>
    <row r="223" spans="1:6" ht="20.25" customHeight="1">
      <c r="A223" s="133">
        <v>1</v>
      </c>
      <c r="B223" s="134" t="s">
        <v>145</v>
      </c>
      <c r="C223" s="139" t="s">
        <v>5492</v>
      </c>
      <c r="D223" s="136">
        <f t="shared" si="12"/>
        <v>280</v>
      </c>
      <c r="E223" s="137" t="s">
        <v>145</v>
      </c>
      <c r="F223" s="133">
        <f t="shared" si="13"/>
        <v>280</v>
      </c>
    </row>
    <row r="224" spans="1:6" ht="20.25" customHeight="1">
      <c r="A224" s="133">
        <v>5</v>
      </c>
      <c r="B224" s="134" t="s">
        <v>3440</v>
      </c>
      <c r="C224" s="139" t="s">
        <v>5493</v>
      </c>
      <c r="D224" s="136">
        <f t="shared" si="12"/>
        <v>10.45</v>
      </c>
      <c r="E224" s="177" t="s">
        <v>3440</v>
      </c>
      <c r="F224" s="133">
        <f t="shared" si="13"/>
        <v>52.25</v>
      </c>
    </row>
    <row r="225" spans="1:6" ht="20.25" customHeight="1">
      <c r="A225" s="133">
        <f>117.37+67.23</f>
        <v>184.6</v>
      </c>
      <c r="B225" s="134" t="s">
        <v>913</v>
      </c>
      <c r="C225" s="139" t="s">
        <v>5494</v>
      </c>
      <c r="D225" s="136">
        <f t="shared" si="12"/>
        <v>52.5</v>
      </c>
      <c r="E225" s="177" t="s">
        <v>913</v>
      </c>
      <c r="F225" s="133">
        <f t="shared" si="13"/>
        <v>9691.5</v>
      </c>
    </row>
    <row r="226" spans="1:6" ht="20.25" customHeight="1">
      <c r="A226" s="133">
        <v>6</v>
      </c>
      <c r="B226" s="134" t="s">
        <v>1432</v>
      </c>
      <c r="C226" s="139" t="s">
        <v>5495</v>
      </c>
      <c r="D226" s="136">
        <f t="shared" si="12"/>
        <v>1086</v>
      </c>
      <c r="E226" s="177" t="s">
        <v>1714</v>
      </c>
      <c r="F226" s="133">
        <f t="shared" si="13"/>
        <v>6516</v>
      </c>
    </row>
    <row r="227" spans="1:6" ht="20.25" customHeight="1">
      <c r="A227" s="133">
        <v>182.4</v>
      </c>
      <c r="B227" s="134" t="s">
        <v>4198</v>
      </c>
      <c r="C227" s="139" t="s">
        <v>5496</v>
      </c>
      <c r="D227" s="136">
        <f t="shared" si="12"/>
        <v>10</v>
      </c>
      <c r="E227" s="177" t="s">
        <v>4200</v>
      </c>
      <c r="F227" s="133">
        <f t="shared" si="13"/>
        <v>1824</v>
      </c>
    </row>
    <row r="228" spans="1:6" ht="20.25" customHeight="1">
      <c r="A228" s="144">
        <v>36</v>
      </c>
      <c r="B228" s="134" t="s">
        <v>4201</v>
      </c>
      <c r="C228" s="139" t="s">
        <v>5509</v>
      </c>
      <c r="D228" s="136">
        <f t="shared" si="12"/>
        <v>60.65</v>
      </c>
      <c r="E228" s="178" t="s">
        <v>4202</v>
      </c>
      <c r="F228" s="133">
        <f t="shared" si="13"/>
        <v>2183.4</v>
      </c>
    </row>
    <row r="229" spans="1:6" ht="20.25" customHeight="1">
      <c r="A229" s="133"/>
      <c r="B229" s="134"/>
      <c r="C229" s="139" t="s">
        <v>4203</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4204</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4205</v>
      </c>
      <c r="D234" s="136"/>
      <c r="E234" s="137"/>
      <c r="F234" s="133">
        <v>1500</v>
      </c>
    </row>
    <row r="235" spans="1:6" ht="20.25" customHeight="1">
      <c r="A235" s="133"/>
      <c r="B235" s="134"/>
      <c r="C235" s="139" t="s">
        <v>4206</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4207</v>
      </c>
    </row>
    <row r="238" spans="1:6" ht="20.25" customHeight="1">
      <c r="A238" s="133"/>
      <c r="B238" s="134"/>
      <c r="C238" s="139"/>
      <c r="D238" s="136"/>
      <c r="E238" s="137"/>
      <c r="F238" s="138">
        <v>46900</v>
      </c>
    </row>
    <row r="239" spans="1:6" ht="20.25" customHeight="1">
      <c r="D239" s="973" t="s">
        <v>975</v>
      </c>
      <c r="E239" s="973"/>
      <c r="F239" s="973"/>
    </row>
    <row r="244" spans="1:6" ht="20.25" customHeight="1">
      <c r="A244" s="182"/>
      <c r="B244" s="182"/>
      <c r="C244" s="181" t="s">
        <v>5541</v>
      </c>
      <c r="D244" s="183"/>
      <c r="E244" s="182"/>
      <c r="F244" s="182"/>
    </row>
    <row r="245" spans="1:6" ht="20.25" customHeight="1">
      <c r="A245" s="123"/>
      <c r="B245" s="124"/>
      <c r="C245" s="125" t="s">
        <v>5515</v>
      </c>
      <c r="D245" s="123"/>
      <c r="E245" s="126"/>
      <c r="F245" s="123"/>
    </row>
    <row r="246" spans="1:6" ht="20.25" customHeight="1">
      <c r="A246" s="123"/>
      <c r="B246" s="124"/>
      <c r="C246" s="127" t="s">
        <v>5516</v>
      </c>
      <c r="D246" s="123"/>
      <c r="E246" s="126"/>
      <c r="F246" s="123"/>
    </row>
    <row r="247" spans="1:6" ht="20.25" customHeight="1">
      <c r="A247" s="123"/>
      <c r="B247" s="124"/>
      <c r="C247" s="127" t="s">
        <v>4155</v>
      </c>
      <c r="D247" s="123"/>
      <c r="E247" s="126"/>
      <c r="F247" s="123"/>
    </row>
    <row r="248" spans="1:6" ht="20.25" customHeight="1">
      <c r="A248" s="123"/>
      <c r="B248" s="124"/>
      <c r="C248" s="128" t="s">
        <v>5517</v>
      </c>
      <c r="D248" s="123"/>
      <c r="E248" s="126"/>
      <c r="F248" s="123"/>
    </row>
    <row r="249" spans="1:6" ht="20.25" customHeight="1">
      <c r="A249" s="123"/>
      <c r="B249" s="124"/>
      <c r="C249" s="128" t="s">
        <v>5518</v>
      </c>
      <c r="D249" s="123"/>
      <c r="E249" s="126"/>
      <c r="F249" s="123"/>
    </row>
    <row r="250" spans="1:6" ht="20.25" customHeight="1">
      <c r="A250" s="123"/>
      <c r="B250" s="124"/>
      <c r="C250" s="128" t="s">
        <v>5519</v>
      </c>
      <c r="D250" s="123"/>
      <c r="E250" s="126"/>
      <c r="F250" s="123"/>
    </row>
    <row r="251" spans="1:6" ht="20.25" customHeight="1">
      <c r="A251" s="123"/>
      <c r="B251" s="124"/>
      <c r="C251" s="128" t="s">
        <v>5520</v>
      </c>
      <c r="D251" s="123"/>
      <c r="E251" s="126"/>
      <c r="F251" s="123"/>
    </row>
    <row r="252" spans="1:6" ht="20.25" customHeight="1">
      <c r="A252" s="123"/>
      <c r="B252" s="124"/>
      <c r="C252" s="127" t="s">
        <v>5521</v>
      </c>
      <c r="D252" s="123"/>
      <c r="E252" s="126"/>
      <c r="F252" s="123"/>
    </row>
    <row r="253" spans="1:6" ht="20.25" customHeight="1">
      <c r="A253" s="123"/>
      <c r="B253" s="124"/>
      <c r="C253" s="128" t="s">
        <v>5522</v>
      </c>
      <c r="D253" s="123"/>
      <c r="E253" s="126"/>
      <c r="F253" s="123"/>
    </row>
    <row r="254" spans="1:6" ht="20.25" customHeight="1">
      <c r="A254" s="123"/>
      <c r="B254" s="124"/>
      <c r="C254" s="127" t="s">
        <v>5523</v>
      </c>
      <c r="D254" s="123"/>
      <c r="E254" s="126"/>
      <c r="F254" s="123"/>
    </row>
    <row r="255" spans="1:6" ht="20.25" customHeight="1">
      <c r="A255" s="123"/>
      <c r="B255" s="124"/>
      <c r="C255" s="128" t="s">
        <v>5524</v>
      </c>
      <c r="D255" s="123"/>
      <c r="E255" s="126"/>
      <c r="F255" s="123"/>
    </row>
    <row r="256" spans="1:6" ht="20.25" customHeight="1">
      <c r="A256" s="123">
        <v>328.18</v>
      </c>
      <c r="B256" s="124" t="s">
        <v>913</v>
      </c>
      <c r="C256" s="128" t="s">
        <v>5499</v>
      </c>
      <c r="D256" s="123">
        <f>D178</f>
        <v>57.6</v>
      </c>
      <c r="E256" s="126" t="s">
        <v>913</v>
      </c>
      <c r="F256" s="123">
        <f>SUM(A256*D256)</f>
        <v>18903.169999999998</v>
      </c>
    </row>
    <row r="257" spans="1:6" ht="20.25" customHeight="1">
      <c r="A257" s="123"/>
      <c r="B257" s="124"/>
      <c r="C257" s="127" t="s">
        <v>4163</v>
      </c>
      <c r="D257" s="123"/>
      <c r="E257" s="126"/>
      <c r="F257" s="123"/>
    </row>
    <row r="258" spans="1:6" ht="20.25" customHeight="1">
      <c r="A258" s="123"/>
      <c r="B258" s="124"/>
      <c r="C258" s="128" t="s">
        <v>4164</v>
      </c>
      <c r="D258" s="123"/>
      <c r="E258" s="126"/>
      <c r="F258" s="123"/>
    </row>
    <row r="259" spans="1:6" ht="20.25" customHeight="1">
      <c r="A259" s="123"/>
      <c r="B259" s="124"/>
      <c r="C259" s="128" t="s">
        <v>5240</v>
      </c>
      <c r="D259" s="123"/>
      <c r="E259" s="126"/>
      <c r="F259" s="123"/>
    </row>
    <row r="260" spans="1:6" ht="20.25" customHeight="1">
      <c r="A260" s="123"/>
      <c r="B260" s="124"/>
      <c r="C260" s="128" t="s">
        <v>4166</v>
      </c>
      <c r="D260" s="123"/>
      <c r="E260" s="126"/>
      <c r="F260" s="123"/>
    </row>
    <row r="261" spans="1:6" ht="20.25" customHeight="1">
      <c r="A261" s="123"/>
      <c r="B261" s="124"/>
      <c r="C261" s="128" t="s">
        <v>5239</v>
      </c>
      <c r="D261" s="123"/>
      <c r="E261" s="126"/>
      <c r="F261" s="123"/>
    </row>
    <row r="262" spans="1:6" ht="20.25" customHeight="1">
      <c r="A262" s="123"/>
      <c r="B262" s="124"/>
      <c r="C262" s="128" t="s">
        <v>5525</v>
      </c>
      <c r="D262" s="123"/>
      <c r="E262" s="126"/>
      <c r="F262" s="123"/>
    </row>
    <row r="263" spans="1:6" ht="20.25" customHeight="1">
      <c r="A263" s="123"/>
      <c r="B263" s="124"/>
      <c r="C263" s="128" t="s">
        <v>5526</v>
      </c>
      <c r="D263" s="123"/>
      <c r="E263" s="126"/>
      <c r="F263" s="123"/>
    </row>
    <row r="264" spans="1:6" ht="20.25" customHeight="1">
      <c r="A264" s="123"/>
      <c r="B264" s="124"/>
      <c r="C264" s="128" t="s">
        <v>5527</v>
      </c>
      <c r="D264" s="123"/>
      <c r="E264" s="126"/>
      <c r="F264" s="123"/>
    </row>
    <row r="265" spans="1:6" ht="20.25" customHeight="1">
      <c r="A265" s="123">
        <v>68.400000000000006</v>
      </c>
      <c r="B265" s="124" t="s">
        <v>913</v>
      </c>
      <c r="C265" s="128" t="s">
        <v>4171</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4172</v>
      </c>
      <c r="D267" s="123"/>
      <c r="E267" s="126"/>
      <c r="F267" s="123"/>
    </row>
    <row r="268" spans="1:6" ht="20.25" customHeight="1">
      <c r="A268" s="123"/>
      <c r="B268" s="124"/>
      <c r="C268" s="128" t="s">
        <v>5528</v>
      </c>
      <c r="D268" s="123"/>
      <c r="E268" s="126"/>
      <c r="F268" s="123"/>
    </row>
    <row r="269" spans="1:6" ht="20.25" customHeight="1">
      <c r="A269" s="123"/>
      <c r="B269" s="124"/>
      <c r="C269" s="128" t="s">
        <v>5529</v>
      </c>
      <c r="D269" s="123"/>
      <c r="E269" s="126"/>
      <c r="F269" s="123"/>
    </row>
    <row r="270" spans="1:6" ht="20.25" customHeight="1">
      <c r="A270" s="123"/>
      <c r="B270" s="124"/>
      <c r="C270" s="128" t="s">
        <v>5530</v>
      </c>
      <c r="D270" s="123"/>
      <c r="E270" s="126"/>
      <c r="F270" s="123"/>
    </row>
    <row r="271" spans="1:6" ht="20.25" customHeight="1">
      <c r="A271" s="123"/>
      <c r="B271" s="124"/>
      <c r="C271" s="128" t="s">
        <v>5531</v>
      </c>
      <c r="D271" s="123"/>
      <c r="E271" s="126"/>
      <c r="F271" s="123"/>
    </row>
    <row r="272" spans="1:6" ht="20.25" customHeight="1">
      <c r="A272" s="123"/>
      <c r="B272" s="124"/>
      <c r="C272" s="128" t="s">
        <v>5532</v>
      </c>
      <c r="D272" s="123"/>
      <c r="E272" s="126"/>
      <c r="F272" s="123"/>
    </row>
    <row r="273" spans="1:6" ht="20.25" customHeight="1">
      <c r="A273" s="123"/>
      <c r="B273" s="124"/>
      <c r="C273" s="128" t="s">
        <v>5533</v>
      </c>
      <c r="D273" s="123"/>
      <c r="E273" s="126"/>
      <c r="F273" s="123"/>
    </row>
    <row r="274" spans="1:6" ht="20.25" customHeight="1">
      <c r="A274" s="123"/>
      <c r="B274" s="124"/>
      <c r="C274" s="128" t="s">
        <v>5534</v>
      </c>
      <c r="D274" s="123"/>
      <c r="E274" s="126"/>
      <c r="F274" s="123"/>
    </row>
    <row r="275" spans="1:6" ht="20.25" customHeight="1">
      <c r="A275" s="123"/>
      <c r="B275" s="124"/>
      <c r="C275" s="128" t="s">
        <v>5535</v>
      </c>
      <c r="D275" s="123"/>
      <c r="E275" s="126"/>
      <c r="F275" s="123"/>
    </row>
    <row r="276" spans="1:6" ht="20.25" customHeight="1">
      <c r="A276" s="123"/>
      <c r="B276" s="124"/>
      <c r="C276" s="128" t="s">
        <v>5536</v>
      </c>
      <c r="D276" s="123"/>
      <c r="E276" s="126"/>
      <c r="F276" s="123"/>
    </row>
    <row r="277" spans="1:6" ht="20.25" customHeight="1">
      <c r="A277" s="123">
        <v>41.64</v>
      </c>
      <c r="B277" s="124" t="s">
        <v>913</v>
      </c>
      <c r="C277" s="139" t="s">
        <v>5478</v>
      </c>
      <c r="D277" s="123">
        <f>D202</f>
        <v>562</v>
      </c>
      <c r="E277" s="126" t="s">
        <v>913</v>
      </c>
      <c r="F277" s="123">
        <f>D277*A277</f>
        <v>23401.68</v>
      </c>
    </row>
    <row r="278" spans="1:6" ht="20.25" customHeight="1">
      <c r="A278" s="123">
        <v>41.64</v>
      </c>
      <c r="B278" s="124" t="s">
        <v>913</v>
      </c>
      <c r="C278" s="128" t="s">
        <v>4184</v>
      </c>
      <c r="D278" s="123">
        <f>D203</f>
        <v>10</v>
      </c>
      <c r="E278" s="126" t="s">
        <v>913</v>
      </c>
      <c r="F278" s="123">
        <f>D278*A278</f>
        <v>416.4</v>
      </c>
    </row>
    <row r="279" spans="1:6" ht="20.25" customHeight="1">
      <c r="A279" s="123">
        <v>2886</v>
      </c>
      <c r="B279" s="124" t="s">
        <v>154</v>
      </c>
      <c r="C279" s="128" t="s">
        <v>4192</v>
      </c>
      <c r="D279" s="123">
        <f>D219</f>
        <v>1</v>
      </c>
      <c r="E279" s="126" t="s">
        <v>4191</v>
      </c>
      <c r="F279" s="123">
        <f>SUM(A279*D279)</f>
        <v>2886</v>
      </c>
    </row>
    <row r="280" spans="1:6" ht="20.25" customHeight="1">
      <c r="A280" s="123">
        <v>3</v>
      </c>
      <c r="B280" s="124" t="s">
        <v>560</v>
      </c>
      <c r="C280" s="128" t="s">
        <v>5542</v>
      </c>
      <c r="D280" s="123">
        <v>1700</v>
      </c>
      <c r="E280" s="126" t="s">
        <v>1714</v>
      </c>
      <c r="F280" s="123">
        <f>SUM(A280*D280)</f>
        <v>5100</v>
      </c>
    </row>
    <row r="281" spans="1:6" ht="20.25" customHeight="1">
      <c r="A281" s="123">
        <v>22</v>
      </c>
      <c r="B281" s="124" t="s">
        <v>1030</v>
      </c>
      <c r="C281" s="128" t="s">
        <v>5954</v>
      </c>
      <c r="D281" s="123">
        <v>1299</v>
      </c>
      <c r="E281" s="126" t="s">
        <v>1714</v>
      </c>
      <c r="F281" s="123">
        <f>SUM(A281*D281)</f>
        <v>28578</v>
      </c>
    </row>
    <row r="282" spans="1:6" ht="20.25" customHeight="1">
      <c r="A282" s="123">
        <v>66</v>
      </c>
      <c r="B282" s="124" t="s">
        <v>1030</v>
      </c>
      <c r="C282" s="128" t="s">
        <v>5956</v>
      </c>
      <c r="D282" s="158">
        <f>D134</f>
        <v>190.2</v>
      </c>
      <c r="E282" s="126" t="s">
        <v>1714</v>
      </c>
      <c r="F282" s="123">
        <f>D282*A282</f>
        <v>12553.2</v>
      </c>
    </row>
    <row r="283" spans="1:6" ht="20.25" customHeight="1">
      <c r="A283" s="123">
        <f>44*0.22</f>
        <v>9.68</v>
      </c>
      <c r="B283" s="124" t="s">
        <v>1645</v>
      </c>
      <c r="C283" s="128" t="s">
        <v>5537</v>
      </c>
      <c r="D283" s="123">
        <f>D277</f>
        <v>562</v>
      </c>
      <c r="E283" s="126" t="s">
        <v>1645</v>
      </c>
      <c r="F283" s="123">
        <f>D283*A283</f>
        <v>5440.16</v>
      </c>
    </row>
    <row r="284" spans="1:6" ht="20.25" customHeight="1">
      <c r="A284" s="123">
        <v>132</v>
      </c>
      <c r="B284" s="124" t="s">
        <v>4201</v>
      </c>
      <c r="C284" s="128" t="s">
        <v>5955</v>
      </c>
      <c r="D284" s="123">
        <v>91.25</v>
      </c>
      <c r="E284" s="126" t="s">
        <v>4202</v>
      </c>
      <c r="F284" s="123">
        <f>SUM(A284*D284)</f>
        <v>12045</v>
      </c>
    </row>
    <row r="285" spans="1:6" ht="20.25" customHeight="1">
      <c r="A285" s="123"/>
      <c r="B285" s="124"/>
      <c r="C285" s="128" t="s">
        <v>5538</v>
      </c>
      <c r="D285" s="123"/>
      <c r="E285" s="126"/>
      <c r="F285" s="123"/>
    </row>
    <row r="286" spans="1:6" ht="20.25" customHeight="1">
      <c r="A286" s="123"/>
      <c r="B286" s="124"/>
      <c r="C286" s="128" t="s">
        <v>5543</v>
      </c>
      <c r="D286" s="123"/>
      <c r="E286" s="126"/>
      <c r="F286" s="123"/>
    </row>
    <row r="287" spans="1:6" ht="20.25" customHeight="1">
      <c r="A287" s="123">
        <v>2.88</v>
      </c>
      <c r="B287" s="124" t="s">
        <v>5544</v>
      </c>
      <c r="C287" s="128" t="s">
        <v>5490</v>
      </c>
      <c r="D287" s="123">
        <f>D221</f>
        <v>1322</v>
      </c>
      <c r="E287" s="129" t="s">
        <v>5544</v>
      </c>
      <c r="F287" s="123">
        <f t="shared" ref="F287:F295" si="14">SUM(A287*D287)</f>
        <v>3807.36</v>
      </c>
    </row>
    <row r="288" spans="1:6" ht="20.25" customHeight="1">
      <c r="A288" s="123">
        <v>12</v>
      </c>
      <c r="B288" s="124" t="s">
        <v>1432</v>
      </c>
      <c r="C288" s="128" t="s">
        <v>4195</v>
      </c>
      <c r="D288" s="123">
        <v>20</v>
      </c>
      <c r="E288" s="126" t="s">
        <v>1714</v>
      </c>
      <c r="F288" s="123">
        <f t="shared" si="14"/>
        <v>240</v>
      </c>
    </row>
    <row r="289" spans="1:30" ht="20.25" customHeight="1">
      <c r="A289" s="123">
        <v>1</v>
      </c>
      <c r="B289" s="124" t="s">
        <v>1432</v>
      </c>
      <c r="C289" s="128" t="s">
        <v>4196</v>
      </c>
      <c r="D289" s="123">
        <v>280</v>
      </c>
      <c r="E289" s="126" t="s">
        <v>1714</v>
      </c>
      <c r="F289" s="123">
        <f t="shared" si="14"/>
        <v>280</v>
      </c>
    </row>
    <row r="290" spans="1:30" ht="20.25" customHeight="1">
      <c r="A290" s="123">
        <v>3</v>
      </c>
      <c r="B290" s="124" t="s">
        <v>1432</v>
      </c>
      <c r="C290" s="128" t="s">
        <v>5957</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4198</v>
      </c>
      <c r="C292" s="128" t="str">
        <f>C148</f>
        <v>MS sheet fabrication charges [SR 2022-23 / P.29]</v>
      </c>
      <c r="D292" s="218">
        <f>D148</f>
        <v>52.5</v>
      </c>
      <c r="E292" s="129" t="s">
        <v>4200</v>
      </c>
      <c r="F292" s="123">
        <f t="shared" si="14"/>
        <v>17229.45</v>
      </c>
    </row>
    <row r="293" spans="1:30" ht="20.25" customHeight="1">
      <c r="A293" s="123">
        <v>68.400000000000006</v>
      </c>
      <c r="B293" s="124" t="s">
        <v>913</v>
      </c>
      <c r="C293" s="128" t="s">
        <v>5959</v>
      </c>
      <c r="D293" s="123">
        <f>D292</f>
        <v>52.5</v>
      </c>
      <c r="E293" s="129" t="s">
        <v>913</v>
      </c>
      <c r="F293" s="123">
        <f t="shared" si="14"/>
        <v>3591</v>
      </c>
    </row>
    <row r="294" spans="1:30" ht="20.25" customHeight="1">
      <c r="A294" s="123">
        <v>24</v>
      </c>
      <c r="B294" s="124" t="s">
        <v>1432</v>
      </c>
      <c r="C294" s="128" t="s">
        <v>5539</v>
      </c>
      <c r="D294" s="123">
        <v>501.25</v>
      </c>
      <c r="E294" s="129" t="s">
        <v>1714</v>
      </c>
      <c r="F294" s="123">
        <f t="shared" si="14"/>
        <v>12030</v>
      </c>
    </row>
    <row r="295" spans="1:30" ht="20.25" customHeight="1">
      <c r="A295" s="123">
        <v>510</v>
      </c>
      <c r="B295" s="124" t="s">
        <v>4198</v>
      </c>
      <c r="C295" s="128" t="s">
        <v>5540</v>
      </c>
      <c r="D295" s="123">
        <v>10</v>
      </c>
      <c r="E295" s="129" t="s">
        <v>4200</v>
      </c>
      <c r="F295" s="123">
        <f t="shared" si="14"/>
        <v>5100</v>
      </c>
    </row>
    <row r="296" spans="1:30" ht="20.25" customHeight="1">
      <c r="A296" s="123"/>
      <c r="B296" s="124"/>
      <c r="C296" s="128" t="s">
        <v>4203</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4204</v>
      </c>
      <c r="D298" s="123"/>
      <c r="E298" s="126"/>
      <c r="F298" s="123">
        <f>F297*2%</f>
        <v>3118.75</v>
      </c>
    </row>
    <row r="299" spans="1:30" ht="20.25" customHeight="1">
      <c r="A299" s="123"/>
      <c r="B299" s="124"/>
      <c r="C299" s="128" t="s">
        <v>4205</v>
      </c>
      <c r="D299" s="123"/>
      <c r="E299" s="126"/>
      <c r="F299" s="123">
        <v>1000</v>
      </c>
    </row>
    <row r="300" spans="1:30" ht="20.25" customHeight="1">
      <c r="A300" s="123"/>
      <c r="B300" s="124"/>
      <c r="C300" s="128" t="s">
        <v>4206</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5446</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5579</v>
      </c>
      <c r="D306" s="183"/>
      <c r="E306" s="182"/>
      <c r="F306" s="182"/>
    </row>
    <row r="307" spans="1:6" ht="20.25" customHeight="1">
      <c r="A307" s="123"/>
      <c r="B307" s="124"/>
      <c r="C307" s="125" t="s">
        <v>5515</v>
      </c>
      <c r="D307" s="123"/>
      <c r="E307" s="126"/>
      <c r="F307" s="123"/>
    </row>
    <row r="308" spans="1:6" ht="20.25" customHeight="1">
      <c r="A308" s="123"/>
      <c r="B308" s="124"/>
      <c r="C308" s="127" t="s">
        <v>5548</v>
      </c>
      <c r="D308" s="123"/>
      <c r="E308" s="126"/>
      <c r="F308" s="123"/>
    </row>
    <row r="309" spans="1:6" ht="20.25" customHeight="1">
      <c r="A309" s="123"/>
      <c r="B309" s="124"/>
      <c r="C309" s="127" t="s">
        <v>4155</v>
      </c>
      <c r="D309" s="123"/>
      <c r="E309" s="126"/>
      <c r="F309" s="123"/>
    </row>
    <row r="310" spans="1:6" ht="20.25" customHeight="1">
      <c r="A310" s="123"/>
      <c r="B310" s="124"/>
      <c r="C310" s="128" t="s">
        <v>5549</v>
      </c>
      <c r="D310" s="123"/>
      <c r="E310" s="126"/>
      <c r="F310" s="123"/>
    </row>
    <row r="311" spans="1:6" ht="20.25" customHeight="1">
      <c r="A311" s="123"/>
      <c r="B311" s="124"/>
      <c r="C311" s="128" t="s">
        <v>5550</v>
      </c>
      <c r="D311" s="123"/>
      <c r="E311" s="126"/>
      <c r="F311" s="123"/>
    </row>
    <row r="312" spans="1:6" ht="20.25" customHeight="1">
      <c r="A312" s="123"/>
      <c r="B312" s="124"/>
      <c r="C312" s="128" t="s">
        <v>5551</v>
      </c>
      <c r="D312" s="123"/>
      <c r="E312" s="126"/>
      <c r="F312" s="123"/>
    </row>
    <row r="313" spans="1:6" ht="20.25" customHeight="1">
      <c r="A313" s="123"/>
      <c r="B313" s="124"/>
      <c r="C313" s="128" t="s">
        <v>5552</v>
      </c>
      <c r="D313" s="123"/>
      <c r="E313" s="126"/>
      <c r="F313" s="123"/>
    </row>
    <row r="314" spans="1:6" ht="20.25" customHeight="1">
      <c r="A314" s="123"/>
      <c r="B314" s="124"/>
      <c r="C314" s="127" t="s">
        <v>5553</v>
      </c>
      <c r="D314" s="123"/>
      <c r="E314" s="126"/>
      <c r="F314" s="123"/>
    </row>
    <row r="315" spans="1:6" ht="20.25" customHeight="1">
      <c r="A315" s="123"/>
      <c r="B315" s="124"/>
      <c r="C315" s="128" t="s">
        <v>5554</v>
      </c>
      <c r="D315" s="123"/>
      <c r="E315" s="126"/>
      <c r="F315" s="123"/>
    </row>
    <row r="316" spans="1:6" ht="20.25" customHeight="1">
      <c r="A316" s="123"/>
      <c r="B316" s="124"/>
      <c r="C316" s="127" t="s">
        <v>5555</v>
      </c>
      <c r="D316" s="123"/>
      <c r="E316" s="126"/>
      <c r="F316" s="123"/>
    </row>
    <row r="317" spans="1:6" ht="20.25" customHeight="1">
      <c r="A317" s="123"/>
      <c r="B317" s="124"/>
      <c r="C317" s="128" t="s">
        <v>5556</v>
      </c>
      <c r="D317" s="123"/>
      <c r="E317" s="126"/>
      <c r="F317" s="123"/>
    </row>
    <row r="318" spans="1:6" ht="20.25" customHeight="1">
      <c r="A318" s="123">
        <v>121.62</v>
      </c>
      <c r="B318" s="124" t="s">
        <v>913</v>
      </c>
      <c r="C318" s="128" t="s">
        <v>5499</v>
      </c>
      <c r="D318" s="123">
        <f>D256</f>
        <v>57.6</v>
      </c>
      <c r="E318" s="126" t="s">
        <v>913</v>
      </c>
      <c r="F318" s="123">
        <f>SUM(A318*D318)</f>
        <v>7005.31</v>
      </c>
    </row>
    <row r="319" spans="1:6" ht="20.25" customHeight="1">
      <c r="A319" s="123"/>
      <c r="B319" s="124"/>
      <c r="C319" s="127" t="s">
        <v>4163</v>
      </c>
      <c r="D319" s="123">
        <f t="shared" ref="D319:D338" si="15">D257</f>
        <v>0</v>
      </c>
      <c r="E319" s="126"/>
      <c r="F319" s="123"/>
    </row>
    <row r="320" spans="1:6" ht="20.25" customHeight="1">
      <c r="A320" s="123"/>
      <c r="B320" s="124"/>
      <c r="C320" s="128" t="s">
        <v>4164</v>
      </c>
      <c r="D320" s="123">
        <f t="shared" si="15"/>
        <v>0</v>
      </c>
      <c r="E320" s="126"/>
      <c r="F320" s="123"/>
    </row>
    <row r="321" spans="1:6" ht="20.25" customHeight="1">
      <c r="A321" s="123"/>
      <c r="B321" s="124"/>
      <c r="C321" s="128" t="s">
        <v>5240</v>
      </c>
      <c r="D321" s="123">
        <f t="shared" si="15"/>
        <v>0</v>
      </c>
      <c r="E321" s="126"/>
      <c r="F321" s="123"/>
    </row>
    <row r="322" spans="1:6" ht="20.25" customHeight="1">
      <c r="A322" s="123"/>
      <c r="B322" s="124"/>
      <c r="C322" s="128" t="s">
        <v>5557</v>
      </c>
      <c r="D322" s="123">
        <f t="shared" si="15"/>
        <v>0</v>
      </c>
      <c r="E322" s="126"/>
      <c r="F322" s="123"/>
    </row>
    <row r="323" spans="1:6" ht="20.25" customHeight="1">
      <c r="A323" s="123"/>
      <c r="B323" s="124"/>
      <c r="C323" s="128" t="s">
        <v>5239</v>
      </c>
      <c r="D323" s="123">
        <f t="shared" si="15"/>
        <v>0</v>
      </c>
      <c r="E323" s="126"/>
      <c r="F323" s="123"/>
    </row>
    <row r="324" spans="1:6" ht="20.25" customHeight="1">
      <c r="A324" s="123"/>
      <c r="B324" s="124"/>
      <c r="C324" s="128" t="s">
        <v>5558</v>
      </c>
      <c r="D324" s="123">
        <f t="shared" si="15"/>
        <v>0</v>
      </c>
      <c r="E324" s="126"/>
      <c r="F324" s="123"/>
    </row>
    <row r="325" spans="1:6" ht="20.25" customHeight="1">
      <c r="A325" s="123"/>
      <c r="B325" s="124"/>
      <c r="C325" s="128" t="s">
        <v>5559</v>
      </c>
      <c r="D325" s="123">
        <f t="shared" si="15"/>
        <v>0</v>
      </c>
      <c r="E325" s="126"/>
      <c r="F325" s="123"/>
    </row>
    <row r="326" spans="1:6" ht="20.25" customHeight="1">
      <c r="A326" s="123"/>
      <c r="B326" s="124"/>
      <c r="C326" s="128" t="s">
        <v>5560</v>
      </c>
      <c r="D326" s="123">
        <f t="shared" si="15"/>
        <v>0</v>
      </c>
      <c r="E326" s="126"/>
      <c r="F326" s="123"/>
    </row>
    <row r="327" spans="1:6" ht="20.25" customHeight="1">
      <c r="A327" s="123">
        <v>52.8</v>
      </c>
      <c r="B327" s="124" t="s">
        <v>913</v>
      </c>
      <c r="C327" s="128" t="s">
        <v>4171</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4172</v>
      </c>
      <c r="D329" s="123">
        <f t="shared" si="15"/>
        <v>0</v>
      </c>
      <c r="E329" s="126"/>
      <c r="F329" s="123">
        <f t="shared" si="16"/>
        <v>0</v>
      </c>
    </row>
    <row r="330" spans="1:6" ht="20.25" customHeight="1">
      <c r="A330" s="123"/>
      <c r="B330" s="124"/>
      <c r="C330" s="128" t="s">
        <v>5561</v>
      </c>
      <c r="D330" s="123">
        <f t="shared" si="15"/>
        <v>0</v>
      </c>
      <c r="E330" s="126"/>
      <c r="F330" s="123">
        <f t="shared" si="16"/>
        <v>0</v>
      </c>
    </row>
    <row r="331" spans="1:6" ht="20.25" customHeight="1">
      <c r="A331" s="123"/>
      <c r="B331" s="124"/>
      <c r="C331" s="128" t="s">
        <v>5562</v>
      </c>
      <c r="D331" s="123">
        <f t="shared" si="15"/>
        <v>0</v>
      </c>
      <c r="E331" s="126"/>
      <c r="F331" s="123">
        <f t="shared" si="16"/>
        <v>0</v>
      </c>
    </row>
    <row r="332" spans="1:6" ht="20.25" customHeight="1">
      <c r="A332" s="123"/>
      <c r="B332" s="124"/>
      <c r="C332" s="128" t="s">
        <v>5563</v>
      </c>
      <c r="D332" s="123">
        <f t="shared" si="15"/>
        <v>0</v>
      </c>
      <c r="E332" s="126"/>
      <c r="F332" s="123">
        <f t="shared" si="16"/>
        <v>0</v>
      </c>
    </row>
    <row r="333" spans="1:6" ht="20.25" customHeight="1">
      <c r="A333" s="123"/>
      <c r="B333" s="124"/>
      <c r="C333" s="128" t="s">
        <v>5564</v>
      </c>
      <c r="D333" s="123">
        <f t="shared" si="15"/>
        <v>0</v>
      </c>
      <c r="E333" s="126"/>
      <c r="F333" s="123">
        <f t="shared" si="16"/>
        <v>0</v>
      </c>
    </row>
    <row r="334" spans="1:6" ht="20.25" customHeight="1">
      <c r="A334" s="123"/>
      <c r="B334" s="124"/>
      <c r="C334" s="128" t="s">
        <v>5565</v>
      </c>
      <c r="D334" s="123">
        <f t="shared" si="15"/>
        <v>0</v>
      </c>
      <c r="E334" s="126"/>
      <c r="F334" s="123">
        <f t="shared" si="16"/>
        <v>0</v>
      </c>
    </row>
    <row r="335" spans="1:6" ht="20.25" customHeight="1">
      <c r="A335" s="123"/>
      <c r="B335" s="124"/>
      <c r="C335" s="128" t="s">
        <v>5566</v>
      </c>
      <c r="D335" s="123">
        <f t="shared" si="15"/>
        <v>0</v>
      </c>
      <c r="E335" s="126"/>
      <c r="F335" s="123">
        <f t="shared" si="16"/>
        <v>0</v>
      </c>
    </row>
    <row r="336" spans="1:6" ht="20.25" customHeight="1">
      <c r="A336" s="123"/>
      <c r="B336" s="124"/>
      <c r="C336" s="128" t="s">
        <v>5567</v>
      </c>
      <c r="D336" s="123">
        <f t="shared" si="15"/>
        <v>0</v>
      </c>
      <c r="E336" s="126"/>
      <c r="F336" s="123">
        <f t="shared" si="16"/>
        <v>0</v>
      </c>
    </row>
    <row r="337" spans="1:6" ht="20.25" customHeight="1">
      <c r="A337" s="123"/>
      <c r="B337" s="124"/>
      <c r="C337" s="128" t="s">
        <v>5568</v>
      </c>
      <c r="D337" s="123">
        <f t="shared" si="15"/>
        <v>0</v>
      </c>
      <c r="E337" s="126"/>
      <c r="F337" s="123">
        <f t="shared" si="16"/>
        <v>0</v>
      </c>
    </row>
    <row r="338" spans="1:6" ht="20.25" customHeight="1">
      <c r="A338" s="123"/>
      <c r="B338" s="124"/>
      <c r="C338" s="128" t="s">
        <v>5569</v>
      </c>
      <c r="D338" s="123">
        <f t="shared" si="15"/>
        <v>0</v>
      </c>
      <c r="E338" s="126"/>
      <c r="F338" s="123">
        <f t="shared" si="16"/>
        <v>0</v>
      </c>
    </row>
    <row r="339" spans="1:6" ht="20.25" customHeight="1">
      <c r="A339" s="123"/>
      <c r="B339" s="124"/>
      <c r="C339" s="128" t="s">
        <v>5570</v>
      </c>
      <c r="E339" s="126"/>
      <c r="F339" s="123">
        <f t="shared" si="16"/>
        <v>0</v>
      </c>
    </row>
    <row r="340" spans="1:6" ht="20.25" customHeight="1">
      <c r="A340" s="123"/>
      <c r="B340" s="124"/>
      <c r="C340" s="128" t="s">
        <v>5571</v>
      </c>
      <c r="E340" s="126"/>
      <c r="F340" s="123">
        <f t="shared" si="16"/>
        <v>0</v>
      </c>
    </row>
    <row r="341" spans="1:6" ht="20.25" customHeight="1">
      <c r="A341" s="123">
        <v>23.63</v>
      </c>
      <c r="B341" s="124" t="s">
        <v>913</v>
      </c>
      <c r="C341" s="139" t="s">
        <v>5478</v>
      </c>
      <c r="D341" s="123">
        <f>D277</f>
        <v>562</v>
      </c>
      <c r="E341" s="126" t="s">
        <v>913</v>
      </c>
      <c r="F341" s="123">
        <f t="shared" si="16"/>
        <v>13280.06</v>
      </c>
    </row>
    <row r="342" spans="1:6" ht="20.25" customHeight="1">
      <c r="A342" s="123">
        <v>23.63</v>
      </c>
      <c r="B342" s="124" t="s">
        <v>913</v>
      </c>
      <c r="C342" s="128" t="s">
        <v>4184</v>
      </c>
      <c r="D342" s="123">
        <f>D278</f>
        <v>10</v>
      </c>
      <c r="E342" s="126" t="s">
        <v>913</v>
      </c>
      <c r="F342" s="123">
        <f t="shared" si="16"/>
        <v>236.3</v>
      </c>
    </row>
    <row r="343" spans="1:6" ht="20.25" customHeight="1">
      <c r="A343" s="123">
        <v>878</v>
      </c>
      <c r="B343" s="124" t="s">
        <v>154</v>
      </c>
      <c r="C343" s="128" t="s">
        <v>4192</v>
      </c>
      <c r="D343" s="123">
        <f>D279</f>
        <v>1</v>
      </c>
      <c r="E343" s="126" t="s">
        <v>4191</v>
      </c>
      <c r="F343" s="123">
        <f t="shared" si="16"/>
        <v>878</v>
      </c>
    </row>
    <row r="344" spans="1:6" ht="20.25" customHeight="1">
      <c r="A344" s="123">
        <v>1</v>
      </c>
      <c r="B344" s="124" t="s">
        <v>560</v>
      </c>
      <c r="C344" s="128" t="s">
        <v>5572</v>
      </c>
      <c r="D344" s="123">
        <v>16616</v>
      </c>
      <c r="E344" s="126" t="s">
        <v>1714</v>
      </c>
      <c r="F344" s="123">
        <f t="shared" si="16"/>
        <v>16616</v>
      </c>
    </row>
    <row r="345" spans="1:6" ht="20.25" customHeight="1">
      <c r="A345" s="123">
        <v>3</v>
      </c>
      <c r="B345" s="124" t="s">
        <v>560</v>
      </c>
      <c r="C345" s="128" t="s">
        <v>5578</v>
      </c>
      <c r="D345" s="123">
        <v>9000</v>
      </c>
      <c r="E345" s="126" t="s">
        <v>1714</v>
      </c>
      <c r="F345" s="123">
        <f>SUM(A345*D345)</f>
        <v>27000</v>
      </c>
    </row>
    <row r="346" spans="1:6" ht="20.25" customHeight="1">
      <c r="A346" s="123">
        <v>6</v>
      </c>
      <c r="B346" s="124" t="s">
        <v>1030</v>
      </c>
      <c r="C346" s="128" t="s">
        <v>5573</v>
      </c>
      <c r="D346" s="123">
        <v>3775</v>
      </c>
      <c r="E346" s="126" t="s">
        <v>1714</v>
      </c>
      <c r="F346" s="123">
        <f t="shared" si="16"/>
        <v>22650</v>
      </c>
    </row>
    <row r="347" spans="1:6" ht="20.25" customHeight="1">
      <c r="A347" s="123"/>
      <c r="B347" s="124"/>
      <c r="C347" s="128" t="s">
        <v>5451</v>
      </c>
      <c r="D347" s="126"/>
      <c r="E347" s="126"/>
      <c r="F347" s="123"/>
    </row>
    <row r="348" spans="1:6" ht="20.25" customHeight="1">
      <c r="A348" s="123"/>
      <c r="B348" s="124"/>
      <c r="C348" s="128" t="s">
        <v>5574</v>
      </c>
      <c r="D348" s="126"/>
      <c r="E348" s="126"/>
      <c r="F348" s="123"/>
    </row>
    <row r="349" spans="1:6" ht="20.25" customHeight="1">
      <c r="A349" s="132">
        <v>1.728</v>
      </c>
      <c r="B349" s="124" t="s">
        <v>5544</v>
      </c>
      <c r="C349" s="128" t="s">
        <v>5577</v>
      </c>
      <c r="D349" s="126">
        <v>1260</v>
      </c>
      <c r="E349" s="129" t="s">
        <v>5544</v>
      </c>
      <c r="F349" s="123">
        <f t="shared" ref="F349:F357" si="17">SUM(A349*D349)</f>
        <v>2177.2800000000002</v>
      </c>
    </row>
    <row r="350" spans="1:6" ht="20.25" customHeight="1">
      <c r="A350" s="123">
        <v>12</v>
      </c>
      <c r="B350" s="124" t="s">
        <v>1432</v>
      </c>
      <c r="C350" s="128" t="s">
        <v>4195</v>
      </c>
      <c r="D350" s="126">
        <v>20</v>
      </c>
      <c r="E350" s="126" t="s">
        <v>1714</v>
      </c>
      <c r="F350" s="123">
        <f t="shared" si="17"/>
        <v>240</v>
      </c>
    </row>
    <row r="351" spans="1:6" ht="20.25" customHeight="1">
      <c r="A351" s="123">
        <v>3</v>
      </c>
      <c r="B351" s="124" t="s">
        <v>1432</v>
      </c>
      <c r="C351" s="128" t="s">
        <v>4196</v>
      </c>
      <c r="D351" s="126">
        <v>280</v>
      </c>
      <c r="E351" s="126" t="s">
        <v>1714</v>
      </c>
      <c r="F351" s="123">
        <f t="shared" si="17"/>
        <v>840</v>
      </c>
    </row>
    <row r="352" spans="1:6" ht="20.25" customHeight="1">
      <c r="A352" s="123">
        <v>3</v>
      </c>
      <c r="B352" s="124" t="s">
        <v>1432</v>
      </c>
      <c r="C352" s="128" t="s">
        <v>5452</v>
      </c>
      <c r="D352" s="126">
        <v>35</v>
      </c>
      <c r="E352" s="126" t="s">
        <v>1714</v>
      </c>
      <c r="F352" s="123">
        <f t="shared" si="17"/>
        <v>105</v>
      </c>
    </row>
    <row r="353" spans="1:6" ht="20.25" customHeight="1">
      <c r="A353" s="123">
        <v>5</v>
      </c>
      <c r="B353" s="124" t="s">
        <v>3440</v>
      </c>
      <c r="C353" s="128" t="s">
        <v>5575</v>
      </c>
      <c r="D353" s="126">
        <v>9.8000000000000007</v>
      </c>
      <c r="E353" s="129" t="s">
        <v>3440</v>
      </c>
      <c r="F353" s="123">
        <f t="shared" si="17"/>
        <v>49</v>
      </c>
    </row>
    <row r="354" spans="1:6" ht="20.25" customHeight="1">
      <c r="A354" s="123">
        <v>121.62</v>
      </c>
      <c r="B354" s="124" t="s">
        <v>913</v>
      </c>
      <c r="C354" s="128" t="s">
        <v>5453</v>
      </c>
      <c r="D354" s="126">
        <v>47.8</v>
      </c>
      <c r="E354" s="129" t="s">
        <v>913</v>
      </c>
      <c r="F354" s="123">
        <f t="shared" si="17"/>
        <v>5813.44</v>
      </c>
    </row>
    <row r="355" spans="1:6" ht="20.25" customHeight="1">
      <c r="A355" s="123">
        <v>52.8</v>
      </c>
      <c r="B355" s="124" t="s">
        <v>913</v>
      </c>
      <c r="C355" s="128" t="s">
        <v>5454</v>
      </c>
      <c r="D355" s="126">
        <v>47.8</v>
      </c>
      <c r="E355" s="129" t="s">
        <v>913</v>
      </c>
      <c r="F355" s="123">
        <f t="shared" si="17"/>
        <v>2523.84</v>
      </c>
    </row>
    <row r="356" spans="1:6" ht="20.25" customHeight="1">
      <c r="A356" s="123">
        <v>11</v>
      </c>
      <c r="B356" s="124" t="s">
        <v>1432</v>
      </c>
      <c r="C356" s="128" t="s">
        <v>5576</v>
      </c>
      <c r="D356" s="126">
        <v>456</v>
      </c>
      <c r="E356" s="129" t="s">
        <v>1714</v>
      </c>
      <c r="F356" s="123">
        <f t="shared" si="17"/>
        <v>5016</v>
      </c>
    </row>
    <row r="357" spans="1:6" ht="20.25" customHeight="1">
      <c r="A357" s="123">
        <v>189</v>
      </c>
      <c r="B357" s="124" t="s">
        <v>4198</v>
      </c>
      <c r="C357" s="128" t="s">
        <v>4199</v>
      </c>
      <c r="D357" s="126">
        <v>10</v>
      </c>
      <c r="E357" s="129" t="s">
        <v>4200</v>
      </c>
      <c r="F357" s="123">
        <f t="shared" si="17"/>
        <v>1890</v>
      </c>
    </row>
    <row r="358" spans="1:6" ht="20.25" customHeight="1">
      <c r="A358" s="123"/>
      <c r="B358" s="124"/>
      <c r="C358" s="128" t="s">
        <v>4203</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4204</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4205</v>
      </c>
      <c r="D362" s="126"/>
      <c r="E362" s="126"/>
      <c r="F362" s="123">
        <v>2000</v>
      </c>
    </row>
    <row r="363" spans="1:6" ht="20.25" customHeight="1">
      <c r="A363" s="123"/>
      <c r="B363" s="124"/>
      <c r="C363" s="128" t="s">
        <v>4206</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5446</v>
      </c>
      <c r="F365" s="159">
        <v>114783</v>
      </c>
    </row>
    <row r="366" spans="1:6" ht="20.25" customHeight="1">
      <c r="A366" s="123"/>
      <c r="B366" s="124"/>
      <c r="C366" s="128"/>
      <c r="D366" s="123"/>
      <c r="E366" s="126"/>
      <c r="F366" s="130"/>
    </row>
    <row r="367" spans="1:6" ht="20.25" customHeight="1">
      <c r="A367" s="133"/>
      <c r="B367" s="134"/>
      <c r="C367" s="135" t="s">
        <v>5497</v>
      </c>
      <c r="D367" s="136"/>
      <c r="E367" s="137"/>
      <c r="F367" s="138"/>
    </row>
    <row r="368" spans="1:6" ht="20.25" customHeight="1">
      <c r="A368" s="133"/>
      <c r="B368" s="134"/>
      <c r="C368" s="139" t="s">
        <v>5580</v>
      </c>
      <c r="D368" s="136"/>
      <c r="E368" s="137"/>
      <c r="F368" s="133"/>
    </row>
    <row r="369" spans="1:6" ht="20.25" customHeight="1">
      <c r="A369" s="133"/>
      <c r="B369" s="134"/>
      <c r="C369" s="140" t="s">
        <v>4155</v>
      </c>
      <c r="D369" s="136"/>
      <c r="E369" s="137"/>
      <c r="F369" s="133"/>
    </row>
    <row r="370" spans="1:6" ht="20.25" customHeight="1">
      <c r="A370" s="133"/>
      <c r="B370" s="134"/>
      <c r="C370" s="139" t="s">
        <v>5581</v>
      </c>
      <c r="D370" s="141">
        <f>4.5*6.42*2</f>
        <v>57.78</v>
      </c>
      <c r="E370" s="142"/>
      <c r="F370" s="143"/>
    </row>
    <row r="371" spans="1:6" ht="20.25" customHeight="1">
      <c r="A371" s="133"/>
      <c r="B371" s="134"/>
      <c r="C371" s="139" t="s">
        <v>5582</v>
      </c>
      <c r="D371" s="141">
        <f>4.5*1*2</f>
        <v>9</v>
      </c>
      <c r="E371" s="142">
        <f>5/12</f>
        <v>0.42</v>
      </c>
      <c r="F371" s="143"/>
    </row>
    <row r="372" spans="1:6" ht="20.25" customHeight="1">
      <c r="A372" s="133"/>
      <c r="B372" s="134"/>
      <c r="C372" s="139" t="s">
        <v>5512</v>
      </c>
      <c r="D372" s="141">
        <f>4.5*1*2</f>
        <v>9</v>
      </c>
      <c r="E372" s="142"/>
      <c r="F372" s="143"/>
    </row>
    <row r="373" spans="1:6" ht="20.25" customHeight="1">
      <c r="A373" s="133"/>
      <c r="B373" s="134"/>
      <c r="C373" s="139" t="s">
        <v>5244</v>
      </c>
      <c r="D373" s="141">
        <f>6.42*1*2</f>
        <v>12.84</v>
      </c>
      <c r="E373" s="142"/>
      <c r="F373" s="143"/>
    </row>
    <row r="374" spans="1:6" ht="20.25" customHeight="1">
      <c r="A374" s="133"/>
      <c r="B374" s="134"/>
      <c r="C374" s="139" t="s">
        <v>5243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5242</v>
      </c>
      <c r="D376" s="141">
        <f>SUM(D374:D375)</f>
        <v>97.48</v>
      </c>
      <c r="E376" s="142"/>
      <c r="F376" s="143"/>
    </row>
    <row r="377" spans="1:6" ht="20.25" customHeight="1">
      <c r="A377" s="144"/>
      <c r="B377" s="134"/>
      <c r="C377" s="140" t="s">
        <v>5241</v>
      </c>
      <c r="D377" s="141">
        <f>D376*1.17</f>
        <v>114.05</v>
      </c>
      <c r="E377" s="142"/>
      <c r="F377" s="143"/>
    </row>
    <row r="378" spans="1:6" ht="20.25" customHeight="1">
      <c r="A378" s="133"/>
      <c r="B378" s="134"/>
      <c r="C378" s="139" t="s">
        <v>5591</v>
      </c>
      <c r="D378" s="136"/>
      <c r="E378" s="137"/>
      <c r="F378" s="133"/>
    </row>
    <row r="379" spans="1:6" ht="20.25" customHeight="1">
      <c r="A379" s="133"/>
      <c r="B379" s="134"/>
      <c r="C379" s="139"/>
      <c r="D379" s="136"/>
      <c r="E379" s="137"/>
      <c r="F379" s="133"/>
    </row>
    <row r="380" spans="1:6" ht="20.25" customHeight="1">
      <c r="A380" s="133">
        <v>46.33</v>
      </c>
      <c r="B380" s="134" t="s">
        <v>913</v>
      </c>
      <c r="C380" s="139" t="s">
        <v>5499</v>
      </c>
      <c r="D380" s="136">
        <v>51.4</v>
      </c>
      <c r="E380" s="137" t="s">
        <v>913</v>
      </c>
      <c r="F380" s="133">
        <f>D380*A380</f>
        <v>2381.36</v>
      </c>
    </row>
    <row r="381" spans="1:6" ht="20.25" customHeight="1">
      <c r="A381" s="144"/>
      <c r="B381" s="134"/>
      <c r="C381" s="140" t="s">
        <v>4163</v>
      </c>
      <c r="D381" s="136"/>
      <c r="E381" s="137"/>
      <c r="F381" s="133">
        <f t="shared" ref="F381:F418" si="18">D381*A381</f>
        <v>0</v>
      </c>
    </row>
    <row r="382" spans="1:6" ht="20.25" customHeight="1">
      <c r="A382" s="133"/>
      <c r="B382" s="134"/>
      <c r="C382" s="139" t="s">
        <v>4164</v>
      </c>
      <c r="D382" s="136"/>
      <c r="E382" s="137"/>
      <c r="F382" s="133">
        <f t="shared" si="18"/>
        <v>0</v>
      </c>
    </row>
    <row r="383" spans="1:6" ht="20.25" customHeight="1">
      <c r="A383" s="133"/>
      <c r="B383" s="134"/>
      <c r="C383" s="139" t="s">
        <v>5240</v>
      </c>
      <c r="D383" s="136"/>
      <c r="E383" s="137"/>
      <c r="F383" s="133">
        <f t="shared" si="18"/>
        <v>0</v>
      </c>
    </row>
    <row r="384" spans="1:6" ht="20.25" customHeight="1">
      <c r="A384" s="133"/>
      <c r="B384" s="134"/>
      <c r="C384" s="139" t="s">
        <v>4166</v>
      </c>
      <c r="D384" s="136"/>
      <c r="E384" s="137"/>
      <c r="F384" s="133">
        <f t="shared" si="18"/>
        <v>0</v>
      </c>
    </row>
    <row r="385" spans="1:6" ht="20.25" customHeight="1">
      <c r="A385" s="133"/>
      <c r="B385" s="134"/>
      <c r="C385" s="139" t="s">
        <v>5239</v>
      </c>
      <c r="D385" s="136"/>
      <c r="E385" s="137"/>
      <c r="F385" s="133">
        <f t="shared" si="18"/>
        <v>0</v>
      </c>
    </row>
    <row r="386" spans="1:6" ht="20.25" customHeight="1">
      <c r="A386" s="133"/>
      <c r="B386" s="134"/>
      <c r="C386" s="139" t="s">
        <v>5238</v>
      </c>
      <c r="D386" s="136"/>
      <c r="E386" s="137"/>
      <c r="F386" s="133">
        <f t="shared" si="18"/>
        <v>0</v>
      </c>
    </row>
    <row r="387" spans="1:6" ht="20.25" customHeight="1">
      <c r="A387" s="133"/>
      <c r="B387" s="134"/>
      <c r="C387" s="139" t="s">
        <v>5237</v>
      </c>
      <c r="D387" s="136"/>
      <c r="E387" s="137"/>
      <c r="F387" s="133">
        <f t="shared" si="18"/>
        <v>0</v>
      </c>
    </row>
    <row r="388" spans="1:6" ht="20.25" customHeight="1">
      <c r="A388" s="133"/>
      <c r="B388" s="134"/>
      <c r="C388" s="139" t="s">
        <v>5236</v>
      </c>
      <c r="D388" s="136"/>
      <c r="E388" s="137"/>
      <c r="F388" s="133">
        <f t="shared" si="18"/>
        <v>0</v>
      </c>
    </row>
    <row r="389" spans="1:6" ht="20.25" customHeight="1">
      <c r="A389" s="133">
        <v>29.4</v>
      </c>
      <c r="B389" s="134" t="s">
        <v>913</v>
      </c>
      <c r="C389" s="139" t="s">
        <v>5500</v>
      </c>
      <c r="D389" s="136">
        <f>D380</f>
        <v>51.4</v>
      </c>
      <c r="E389" s="137" t="s">
        <v>913</v>
      </c>
      <c r="F389" s="133">
        <f t="shared" si="18"/>
        <v>1511.16</v>
      </c>
    </row>
    <row r="390" spans="1:6" ht="20.25" customHeight="1">
      <c r="A390" s="133"/>
      <c r="B390" s="134"/>
      <c r="C390" s="140" t="s">
        <v>4172</v>
      </c>
      <c r="D390" s="136"/>
      <c r="E390" s="137"/>
      <c r="F390" s="133">
        <f t="shared" si="18"/>
        <v>0</v>
      </c>
    </row>
    <row r="391" spans="1:6" ht="20.25" customHeight="1">
      <c r="A391" s="133"/>
      <c r="B391" s="134"/>
      <c r="C391" s="139" t="s">
        <v>4173</v>
      </c>
      <c r="D391" s="136"/>
      <c r="E391" s="137"/>
      <c r="F391" s="133">
        <f t="shared" si="18"/>
        <v>0</v>
      </c>
    </row>
    <row r="392" spans="1:6" ht="20.25" customHeight="1">
      <c r="A392" s="133"/>
      <c r="B392" s="134"/>
      <c r="C392" s="139" t="s">
        <v>4174</v>
      </c>
      <c r="D392" s="136"/>
      <c r="E392" s="137"/>
      <c r="F392" s="133">
        <f t="shared" si="18"/>
        <v>0</v>
      </c>
    </row>
    <row r="393" spans="1:6" ht="20.25" customHeight="1">
      <c r="A393" s="133"/>
      <c r="B393" s="134"/>
      <c r="C393" s="139" t="s">
        <v>5501</v>
      </c>
      <c r="D393" s="136"/>
      <c r="E393" s="137"/>
      <c r="F393" s="133">
        <f t="shared" si="18"/>
        <v>0</v>
      </c>
    </row>
    <row r="394" spans="1:6" ht="20.25" customHeight="1">
      <c r="A394" s="133"/>
      <c r="B394" s="134"/>
      <c r="C394" s="139" t="s">
        <v>4176</v>
      </c>
      <c r="D394" s="136"/>
      <c r="E394" s="137"/>
      <c r="F394" s="133">
        <f t="shared" si="18"/>
        <v>0</v>
      </c>
    </row>
    <row r="395" spans="1:6" ht="20.25" customHeight="1">
      <c r="A395" s="133"/>
      <c r="B395" s="134"/>
      <c r="C395" s="139" t="s">
        <v>4177</v>
      </c>
      <c r="D395" s="136"/>
      <c r="E395" s="137"/>
      <c r="F395" s="133">
        <f t="shared" si="18"/>
        <v>0</v>
      </c>
    </row>
    <row r="396" spans="1:6" ht="20.25" customHeight="1">
      <c r="A396" s="133"/>
      <c r="B396" s="134"/>
      <c r="C396" s="139" t="s">
        <v>4178</v>
      </c>
      <c r="D396" s="136"/>
      <c r="E396" s="137"/>
      <c r="F396" s="133">
        <f t="shared" si="18"/>
        <v>0</v>
      </c>
    </row>
    <row r="397" spans="1:6" ht="20.25" customHeight="1">
      <c r="A397" s="133"/>
      <c r="B397" s="134"/>
      <c r="C397" s="139" t="s">
        <v>5502</v>
      </c>
      <c r="D397" s="136"/>
      <c r="E397" s="137"/>
      <c r="F397" s="133">
        <f t="shared" si="18"/>
        <v>0</v>
      </c>
    </row>
    <row r="398" spans="1:6" ht="20.25" customHeight="1">
      <c r="A398" s="133"/>
      <c r="B398" s="134"/>
      <c r="C398" s="139" t="s">
        <v>4180</v>
      </c>
      <c r="D398" s="136"/>
      <c r="E398" s="137"/>
      <c r="F398" s="133">
        <f t="shared" si="18"/>
        <v>0</v>
      </c>
    </row>
    <row r="399" spans="1:6" ht="20.25" customHeight="1">
      <c r="A399" s="133"/>
      <c r="B399" s="134"/>
      <c r="C399" s="139" t="s">
        <v>4181</v>
      </c>
      <c r="D399" s="136"/>
      <c r="E399" s="137"/>
      <c r="F399" s="133">
        <f t="shared" si="18"/>
        <v>0</v>
      </c>
    </row>
    <row r="400" spans="1:6" ht="20.25" customHeight="1">
      <c r="A400" s="133"/>
      <c r="B400" s="134"/>
      <c r="C400" s="139" t="s">
        <v>4182</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5503</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5504</v>
      </c>
      <c r="D404" s="136">
        <v>526</v>
      </c>
      <c r="E404" s="137" t="s">
        <v>913</v>
      </c>
      <c r="F404" s="133">
        <f t="shared" si="18"/>
        <v>5302.08</v>
      </c>
    </row>
    <row r="405" spans="1:6" ht="20.25" customHeight="1">
      <c r="A405" s="133">
        <f>A404</f>
        <v>10.08</v>
      </c>
      <c r="B405" s="134" t="s">
        <v>913</v>
      </c>
      <c r="C405" s="139" t="s">
        <v>5505</v>
      </c>
      <c r="D405" s="136">
        <v>10</v>
      </c>
      <c r="E405" s="137" t="s">
        <v>913</v>
      </c>
      <c r="F405" s="133">
        <f t="shared" si="18"/>
        <v>100.8</v>
      </c>
    </row>
    <row r="406" spans="1:6" ht="20.25" customHeight="1">
      <c r="A406" s="123">
        <v>438</v>
      </c>
      <c r="B406" s="124" t="s">
        <v>4191</v>
      </c>
      <c r="C406" s="128" t="s">
        <v>4192</v>
      </c>
      <c r="D406" s="123">
        <v>1</v>
      </c>
      <c r="E406" s="126" t="s">
        <v>4191</v>
      </c>
      <c r="F406" s="133">
        <f t="shared" si="18"/>
        <v>438</v>
      </c>
    </row>
    <row r="407" spans="1:6" ht="20.25" customHeight="1">
      <c r="A407" s="123">
        <v>2</v>
      </c>
      <c r="B407" s="124" t="s">
        <v>1394</v>
      </c>
      <c r="C407" s="128" t="s">
        <v>5583</v>
      </c>
      <c r="D407" s="123">
        <f>9355+893+404</f>
        <v>10652</v>
      </c>
      <c r="E407" s="126" t="str">
        <f>B407</f>
        <v>No</v>
      </c>
      <c r="F407" s="133">
        <f t="shared" si="18"/>
        <v>21304</v>
      </c>
    </row>
    <row r="408" spans="1:6" ht="20.25" customHeight="1">
      <c r="A408" s="123">
        <v>1</v>
      </c>
      <c r="B408" s="124" t="s">
        <v>1394</v>
      </c>
      <c r="C408" s="128" t="s">
        <v>5587</v>
      </c>
      <c r="D408" s="123">
        <v>9798</v>
      </c>
      <c r="E408" s="126" t="str">
        <f>B408</f>
        <v>No</v>
      </c>
      <c r="F408" s="133">
        <f t="shared" si="18"/>
        <v>9798</v>
      </c>
    </row>
    <row r="409" spans="1:6" ht="20.25" customHeight="1">
      <c r="A409" s="123">
        <v>1</v>
      </c>
      <c r="B409" s="124" t="s">
        <v>1394</v>
      </c>
      <c r="C409" s="128" t="s">
        <v>5588</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4195</v>
      </c>
      <c r="D411" s="123">
        <f>D288</f>
        <v>20</v>
      </c>
      <c r="E411" s="126" t="s">
        <v>1394</v>
      </c>
      <c r="F411" s="133">
        <f t="shared" si="18"/>
        <v>240</v>
      </c>
    </row>
    <row r="412" spans="1:6" ht="20.25" customHeight="1">
      <c r="A412" s="123">
        <v>3</v>
      </c>
      <c r="B412" s="124" t="s">
        <v>145</v>
      </c>
      <c r="C412" s="128" t="s">
        <v>4196</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5220</v>
      </c>
      <c r="C418" s="128" t="s">
        <v>5221</v>
      </c>
      <c r="D418" s="123">
        <v>10</v>
      </c>
      <c r="E418" s="126" t="s">
        <v>5222</v>
      </c>
      <c r="F418" s="133">
        <f t="shared" si="18"/>
        <v>720</v>
      </c>
    </row>
    <row r="419" spans="1:6" ht="20.25" customHeight="1">
      <c r="A419" s="133"/>
      <c r="B419" s="134"/>
      <c r="C419" s="139" t="s">
        <v>4203</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4204</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4205</v>
      </c>
      <c r="D423" s="126"/>
      <c r="E423" s="126"/>
      <c r="F423" s="123">
        <v>1000</v>
      </c>
    </row>
    <row r="424" spans="1:6" ht="20.25" customHeight="1">
      <c r="A424" s="123"/>
      <c r="B424" s="124"/>
      <c r="C424" s="128" t="s">
        <v>4206</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5446</v>
      </c>
      <c r="F426" s="159">
        <v>58902</v>
      </c>
    </row>
    <row r="427" spans="1:6" ht="20.25" customHeight="1">
      <c r="A427" s="133"/>
      <c r="B427" s="134"/>
      <c r="C427" s="139"/>
      <c r="D427" s="136"/>
      <c r="E427" s="137"/>
      <c r="F427" s="138"/>
    </row>
    <row r="428" spans="1:6" ht="20.25" customHeight="1">
      <c r="D428" s="973"/>
      <c r="E428" s="973"/>
      <c r="F428" s="973"/>
    </row>
    <row r="430" spans="1:6" ht="20.25" customHeight="1">
      <c r="A430" s="133"/>
      <c r="B430" s="134"/>
      <c r="C430" s="135" t="s">
        <v>5592</v>
      </c>
      <c r="D430" s="136"/>
      <c r="E430" s="137"/>
      <c r="F430" s="138"/>
    </row>
    <row r="431" spans="1:6" ht="20.25" customHeight="1">
      <c r="A431" s="133"/>
      <c r="B431" s="134"/>
      <c r="C431" s="139" t="s">
        <v>5593</v>
      </c>
      <c r="D431" s="136"/>
      <c r="E431" s="137"/>
      <c r="F431" s="133"/>
    </row>
    <row r="432" spans="1:6" ht="20.25" customHeight="1">
      <c r="A432" s="133"/>
      <c r="B432" s="134"/>
      <c r="C432" s="140" t="s">
        <v>4155</v>
      </c>
      <c r="D432" s="136"/>
      <c r="E432" s="137"/>
      <c r="F432" s="133"/>
    </row>
    <row r="433" spans="1:6" ht="20.25" customHeight="1">
      <c r="A433" s="133"/>
      <c r="B433" s="134"/>
      <c r="C433" s="139" t="s">
        <v>5595</v>
      </c>
      <c r="D433" s="141">
        <f>4.5*6.42*2</f>
        <v>57.78</v>
      </c>
      <c r="E433" s="142"/>
      <c r="F433" s="143"/>
    </row>
    <row r="434" spans="1:6" ht="20.25" customHeight="1">
      <c r="A434" s="133"/>
      <c r="B434" s="134"/>
      <c r="C434" s="139" t="s">
        <v>5596</v>
      </c>
      <c r="D434" s="141">
        <f>4.5*1*2</f>
        <v>9</v>
      </c>
      <c r="E434" s="142">
        <f>5/12</f>
        <v>0.42</v>
      </c>
      <c r="F434" s="143"/>
    </row>
    <row r="435" spans="1:6" ht="20.25" customHeight="1">
      <c r="A435" s="133"/>
      <c r="B435" s="134"/>
      <c r="C435" s="139" t="s">
        <v>5597</v>
      </c>
      <c r="D435" s="141">
        <f>4.5*1*2</f>
        <v>9</v>
      </c>
      <c r="E435" s="142"/>
      <c r="F435" s="143"/>
    </row>
    <row r="436" spans="1:6" ht="20.25" customHeight="1">
      <c r="A436" s="133"/>
      <c r="B436" s="134"/>
      <c r="C436" s="139" t="s">
        <v>5598</v>
      </c>
      <c r="D436" s="141">
        <f>6.42*1*2</f>
        <v>12.84</v>
      </c>
      <c r="E436" s="142"/>
      <c r="F436" s="143"/>
    </row>
    <row r="437" spans="1:6" ht="20.25" customHeight="1">
      <c r="A437" s="133"/>
      <c r="B437" s="134"/>
      <c r="C437" s="139" t="s">
        <v>5599</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5600</v>
      </c>
      <c r="D439" s="141">
        <f>SUM(D437:D438)</f>
        <v>97.48</v>
      </c>
      <c r="E439" s="142"/>
      <c r="F439" s="143"/>
    </row>
    <row r="440" spans="1:6" ht="20.25" customHeight="1">
      <c r="A440" s="144"/>
      <c r="B440" s="134"/>
      <c r="C440" s="140" t="s">
        <v>5601</v>
      </c>
      <c r="D440" s="141">
        <f>D439*1.17</f>
        <v>114.05</v>
      </c>
      <c r="E440" s="142"/>
      <c r="F440" s="143"/>
    </row>
    <row r="441" spans="1:6" ht="20.25" customHeight="1">
      <c r="A441" s="133"/>
      <c r="B441" s="134"/>
      <c r="C441" s="139" t="s">
        <v>5602</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5499</v>
      </c>
      <c r="D443" s="136">
        <v>51.4</v>
      </c>
      <c r="E443" s="137" t="s">
        <v>913</v>
      </c>
      <c r="F443" s="133">
        <f>D443*A443</f>
        <v>4168.54</v>
      </c>
    </row>
    <row r="444" spans="1:6" ht="20.25" customHeight="1">
      <c r="A444" s="144"/>
      <c r="B444" s="134"/>
      <c r="C444" s="140" t="s">
        <v>4163</v>
      </c>
      <c r="D444" s="136"/>
      <c r="E444" s="137"/>
      <c r="F444" s="133">
        <f t="shared" ref="F444:F480" si="19">D444*A444</f>
        <v>0</v>
      </c>
    </row>
    <row r="445" spans="1:6" ht="20.25" customHeight="1">
      <c r="A445" s="133"/>
      <c r="B445" s="134"/>
      <c r="C445" s="139" t="s">
        <v>4164</v>
      </c>
      <c r="D445" s="136"/>
      <c r="E445" s="137"/>
      <c r="F445" s="133">
        <f t="shared" si="19"/>
        <v>0</v>
      </c>
    </row>
    <row r="446" spans="1:6" ht="20.25" customHeight="1">
      <c r="A446" s="133"/>
      <c r="B446" s="134"/>
      <c r="C446" s="139" t="s">
        <v>5240</v>
      </c>
      <c r="D446" s="136"/>
      <c r="E446" s="137"/>
      <c r="F446" s="133">
        <f t="shared" si="19"/>
        <v>0</v>
      </c>
    </row>
    <row r="447" spans="1:6" ht="20.25" customHeight="1">
      <c r="A447" s="133"/>
      <c r="B447" s="134"/>
      <c r="C447" s="139" t="s">
        <v>5198</v>
      </c>
      <c r="D447" s="136"/>
      <c r="E447" s="137"/>
      <c r="F447" s="133">
        <f t="shared" si="19"/>
        <v>0</v>
      </c>
    </row>
    <row r="448" spans="1:6" ht="20.25" customHeight="1">
      <c r="A448" s="133"/>
      <c r="B448" s="134"/>
      <c r="C448" s="139" t="s">
        <v>5239</v>
      </c>
      <c r="D448" s="136"/>
      <c r="E448" s="137"/>
      <c r="F448" s="133">
        <f t="shared" si="19"/>
        <v>0</v>
      </c>
    </row>
    <row r="449" spans="1:6" ht="20.25" customHeight="1">
      <c r="A449" s="133"/>
      <c r="B449" s="134"/>
      <c r="C449" s="139" t="s">
        <v>5603</v>
      </c>
      <c r="D449" s="136"/>
      <c r="E449" s="137"/>
      <c r="F449" s="133">
        <f t="shared" si="19"/>
        <v>0</v>
      </c>
    </row>
    <row r="450" spans="1:6" ht="20.25" customHeight="1">
      <c r="A450" s="133"/>
      <c r="B450" s="134"/>
      <c r="C450" s="139" t="s">
        <v>5604</v>
      </c>
      <c r="D450" s="136"/>
      <c r="E450" s="137"/>
      <c r="F450" s="133">
        <f t="shared" si="19"/>
        <v>0</v>
      </c>
    </row>
    <row r="451" spans="1:6" ht="20.25" customHeight="1">
      <c r="A451" s="133"/>
      <c r="B451" s="134"/>
      <c r="C451" s="139" t="s">
        <v>5605</v>
      </c>
      <c r="D451" s="136"/>
      <c r="E451" s="137"/>
      <c r="F451" s="133">
        <f t="shared" si="19"/>
        <v>0</v>
      </c>
    </row>
    <row r="452" spans="1:6" ht="20.25" customHeight="1">
      <c r="A452" s="133">
        <v>110</v>
      </c>
      <c r="B452" s="134" t="s">
        <v>913</v>
      </c>
      <c r="C452" s="139" t="s">
        <v>5500</v>
      </c>
      <c r="D452" s="136">
        <f>D443</f>
        <v>51.4</v>
      </c>
      <c r="E452" s="137" t="s">
        <v>913</v>
      </c>
      <c r="F452" s="133">
        <f t="shared" si="19"/>
        <v>5654</v>
      </c>
    </row>
    <row r="453" spans="1:6" ht="20.25" customHeight="1">
      <c r="A453" s="133"/>
      <c r="B453" s="134"/>
      <c r="C453" s="140" t="s">
        <v>4172</v>
      </c>
      <c r="D453" s="136"/>
      <c r="E453" s="137"/>
      <c r="F453" s="133">
        <f t="shared" si="19"/>
        <v>0</v>
      </c>
    </row>
    <row r="454" spans="1:6" ht="20.25" customHeight="1">
      <c r="A454" s="133"/>
      <c r="B454" s="134"/>
      <c r="C454" s="139" t="s">
        <v>4173</v>
      </c>
      <c r="D454" s="136"/>
      <c r="E454" s="137"/>
      <c r="F454" s="133">
        <f t="shared" si="19"/>
        <v>0</v>
      </c>
    </row>
    <row r="455" spans="1:6" ht="20.25" customHeight="1">
      <c r="A455" s="133"/>
      <c r="B455" s="134"/>
      <c r="C455" s="139" t="s">
        <v>4174</v>
      </c>
      <c r="D455" s="136"/>
      <c r="E455" s="137"/>
      <c r="F455" s="133">
        <f t="shared" si="19"/>
        <v>0</v>
      </c>
    </row>
    <row r="456" spans="1:6" ht="20.25" customHeight="1">
      <c r="A456" s="133"/>
      <c r="B456" s="134"/>
      <c r="C456" s="139" t="s">
        <v>5606</v>
      </c>
      <c r="D456" s="136"/>
      <c r="E456" s="137"/>
      <c r="F456" s="133">
        <f t="shared" si="19"/>
        <v>0</v>
      </c>
    </row>
    <row r="457" spans="1:6" ht="20.25" customHeight="1">
      <c r="A457" s="133"/>
      <c r="B457" s="134"/>
      <c r="C457" s="139" t="s">
        <v>5607</v>
      </c>
      <c r="D457" s="136"/>
      <c r="E457" s="137"/>
      <c r="F457" s="133">
        <f t="shared" si="19"/>
        <v>0</v>
      </c>
    </row>
    <row r="458" spans="1:6" ht="20.25" customHeight="1">
      <c r="A458" s="133"/>
      <c r="B458" s="134"/>
      <c r="C458" s="139" t="s">
        <v>5608</v>
      </c>
      <c r="D458" s="136"/>
      <c r="E458" s="137"/>
      <c r="F458" s="133">
        <f t="shared" si="19"/>
        <v>0</v>
      </c>
    </row>
    <row r="459" spans="1:6" ht="20.25" customHeight="1">
      <c r="A459" s="133"/>
      <c r="B459" s="134"/>
      <c r="C459" s="139" t="s">
        <v>5609</v>
      </c>
      <c r="D459" s="136"/>
      <c r="E459" s="137"/>
      <c r="F459" s="133">
        <f t="shared" si="19"/>
        <v>0</v>
      </c>
    </row>
    <row r="460" spans="1:6" ht="20.25" customHeight="1">
      <c r="A460" s="133"/>
      <c r="B460" s="134"/>
      <c r="C460" s="139" t="s">
        <v>5610</v>
      </c>
      <c r="D460" s="136"/>
      <c r="E460" s="137"/>
      <c r="F460" s="133">
        <f t="shared" si="19"/>
        <v>0</v>
      </c>
    </row>
    <row r="461" spans="1:6" ht="20.25" customHeight="1">
      <c r="A461" s="133"/>
      <c r="B461" s="134"/>
      <c r="C461" s="139" t="s">
        <v>5611</v>
      </c>
      <c r="D461" s="136"/>
      <c r="E461" s="137"/>
      <c r="F461" s="133">
        <f t="shared" si="19"/>
        <v>0</v>
      </c>
    </row>
    <row r="462" spans="1:6" ht="20.25" customHeight="1">
      <c r="A462" s="133"/>
      <c r="B462" s="134"/>
      <c r="C462" s="139" t="s">
        <v>5612</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5613</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5504</v>
      </c>
      <c r="D466" s="136">
        <v>526</v>
      </c>
      <c r="E466" s="137" t="s">
        <v>913</v>
      </c>
      <c r="F466" s="133">
        <f t="shared" si="19"/>
        <v>9757.2999999999993</v>
      </c>
    </row>
    <row r="467" spans="1:6" ht="20.25" customHeight="1">
      <c r="A467" s="133">
        <f>A466</f>
        <v>18.55</v>
      </c>
      <c r="B467" s="134" t="s">
        <v>913</v>
      </c>
      <c r="C467" s="139" t="s">
        <v>5505</v>
      </c>
      <c r="D467" s="136">
        <v>10</v>
      </c>
      <c r="E467" s="137" t="s">
        <v>913</v>
      </c>
      <c r="F467" s="133">
        <f t="shared" si="19"/>
        <v>185.5</v>
      </c>
    </row>
    <row r="468" spans="1:6" ht="20.25" customHeight="1">
      <c r="A468" s="123">
        <v>440</v>
      </c>
      <c r="B468" s="124" t="s">
        <v>4191</v>
      </c>
      <c r="C468" s="128" t="s">
        <v>4192</v>
      </c>
      <c r="D468" s="123">
        <v>1</v>
      </c>
      <c r="E468" s="126" t="s">
        <v>4191</v>
      </c>
      <c r="F468" s="133">
        <f t="shared" si="19"/>
        <v>440</v>
      </c>
    </row>
    <row r="469" spans="1:6" ht="20.25" customHeight="1">
      <c r="A469" s="123">
        <v>1</v>
      </c>
      <c r="B469" s="124" t="s">
        <v>1394</v>
      </c>
      <c r="C469" s="128" t="s">
        <v>5594</v>
      </c>
      <c r="D469" s="123">
        <v>17850</v>
      </c>
      <c r="E469" s="126" t="str">
        <f>B469</f>
        <v>No</v>
      </c>
      <c r="F469" s="133">
        <f t="shared" si="19"/>
        <v>17850</v>
      </c>
    </row>
    <row r="470" spans="1:6" ht="20.25" customHeight="1">
      <c r="A470" s="123">
        <v>2</v>
      </c>
      <c r="B470" s="124" t="s">
        <v>1394</v>
      </c>
      <c r="C470" s="128" t="s">
        <v>5587</v>
      </c>
      <c r="D470" s="123">
        <v>9798</v>
      </c>
      <c r="E470" s="126" t="str">
        <f>B470</f>
        <v>No</v>
      </c>
      <c r="F470" s="133">
        <f t="shared" si="19"/>
        <v>19596</v>
      </c>
    </row>
    <row r="471" spans="1:6" ht="20.25" customHeight="1">
      <c r="A471" s="123">
        <v>1</v>
      </c>
      <c r="B471" s="124" t="s">
        <v>1394</v>
      </c>
      <c r="C471" s="128" t="s">
        <v>5588</v>
      </c>
      <c r="D471" s="123">
        <f>6195+235</f>
        <v>6430</v>
      </c>
      <c r="E471" s="126" t="str">
        <f>B471</f>
        <v>No</v>
      </c>
      <c r="F471" s="133">
        <f t="shared" si="19"/>
        <v>6430</v>
      </c>
    </row>
    <row r="472" spans="1:6" ht="20.25" customHeight="1">
      <c r="A472" s="132">
        <v>1.1499999999999999</v>
      </c>
      <c r="B472" s="124" t="s">
        <v>2283</v>
      </c>
      <c r="C472" s="128" t="s">
        <v>5577</v>
      </c>
      <c r="D472" s="126">
        <v>1260</v>
      </c>
      <c r="E472" s="126" t="s">
        <v>2283</v>
      </c>
      <c r="F472" s="133">
        <f t="shared" si="19"/>
        <v>1449</v>
      </c>
    </row>
    <row r="473" spans="1:6" ht="20.25" customHeight="1">
      <c r="A473" s="123">
        <v>12</v>
      </c>
      <c r="B473" s="124" t="s">
        <v>1394</v>
      </c>
      <c r="C473" s="128" t="s">
        <v>4195</v>
      </c>
      <c r="D473" s="123">
        <v>20</v>
      </c>
      <c r="E473" s="126" t="s">
        <v>1394</v>
      </c>
      <c r="F473" s="133">
        <f t="shared" si="19"/>
        <v>240</v>
      </c>
    </row>
    <row r="474" spans="1:6" ht="20.25" customHeight="1">
      <c r="A474" s="123">
        <v>3</v>
      </c>
      <c r="B474" s="124" t="s">
        <v>145</v>
      </c>
      <c r="C474" s="128" t="s">
        <v>4196</v>
      </c>
      <c r="D474" s="123">
        <v>280</v>
      </c>
      <c r="E474" s="126" t="s">
        <v>145</v>
      </c>
      <c r="F474" s="133">
        <f t="shared" si="19"/>
        <v>840</v>
      </c>
    </row>
    <row r="475" spans="1:6" ht="20.25" customHeight="1">
      <c r="A475" s="123">
        <v>3</v>
      </c>
      <c r="B475" s="124" t="s">
        <v>1394</v>
      </c>
      <c r="C475" s="128" t="s">
        <v>5589</v>
      </c>
      <c r="D475" s="123">
        <v>47.6</v>
      </c>
      <c r="E475" s="126" t="str">
        <f>B475</f>
        <v>No</v>
      </c>
      <c r="F475" s="133">
        <f t="shared" si="19"/>
        <v>142.80000000000001</v>
      </c>
    </row>
    <row r="476" spans="1:6" ht="20.25" customHeight="1">
      <c r="A476" s="123">
        <v>5</v>
      </c>
      <c r="B476" s="124" t="s">
        <v>826</v>
      </c>
      <c r="C476" s="128" t="s">
        <v>5590</v>
      </c>
      <c r="D476" s="123">
        <v>9.8000000000000007</v>
      </c>
      <c r="E476" s="126" t="str">
        <f>B476</f>
        <v>Rmt</v>
      </c>
      <c r="F476" s="133">
        <f t="shared" si="19"/>
        <v>49</v>
      </c>
    </row>
    <row r="477" spans="1:6" ht="20.25" customHeight="1">
      <c r="A477" s="123">
        <v>81.099999999999994</v>
      </c>
      <c r="B477" s="124" t="s">
        <v>1645</v>
      </c>
      <c r="C477" s="128" t="s">
        <v>5217</v>
      </c>
      <c r="D477" s="123">
        <v>47.8</v>
      </c>
      <c r="E477" s="126" t="str">
        <f>B477</f>
        <v>Kg</v>
      </c>
      <c r="F477" s="133">
        <f t="shared" si="19"/>
        <v>3876.58</v>
      </c>
    </row>
    <row r="478" spans="1:6" ht="20.25" customHeight="1">
      <c r="A478" s="123">
        <v>110</v>
      </c>
      <c r="B478" s="124" t="s">
        <v>1645</v>
      </c>
      <c r="C478" s="128" t="s">
        <v>5218</v>
      </c>
      <c r="D478" s="123">
        <f>D477</f>
        <v>47.8</v>
      </c>
      <c r="E478" s="126" t="str">
        <f>B478</f>
        <v>Kg</v>
      </c>
      <c r="F478" s="133">
        <f t="shared" si="19"/>
        <v>5258</v>
      </c>
    </row>
    <row r="479" spans="1:6" ht="20.25" customHeight="1">
      <c r="A479" s="123">
        <v>5</v>
      </c>
      <c r="B479" s="124" t="s">
        <v>1432</v>
      </c>
      <c r="C479" s="128" t="s">
        <v>5576</v>
      </c>
      <c r="D479" s="123">
        <v>456</v>
      </c>
      <c r="E479" s="129" t="s">
        <v>1714</v>
      </c>
      <c r="F479" s="133">
        <f t="shared" si="19"/>
        <v>2280</v>
      </c>
    </row>
    <row r="480" spans="1:6" ht="20.25" customHeight="1">
      <c r="A480" s="123">
        <v>126</v>
      </c>
      <c r="B480" s="124" t="s">
        <v>5220</v>
      </c>
      <c r="C480" s="128" t="s">
        <v>5221</v>
      </c>
      <c r="D480" s="123">
        <v>10</v>
      </c>
      <c r="E480" s="126" t="s">
        <v>5222</v>
      </c>
      <c r="F480" s="133">
        <f t="shared" si="19"/>
        <v>1260</v>
      </c>
    </row>
    <row r="481" spans="1:6" ht="20.25" customHeight="1">
      <c r="A481" s="133"/>
      <c r="B481" s="134"/>
      <c r="C481" s="139" t="s">
        <v>4203</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4204</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4205</v>
      </c>
      <c r="D485" s="126"/>
      <c r="E485" s="126"/>
      <c r="F485" s="123">
        <v>1000</v>
      </c>
    </row>
    <row r="486" spans="1:6" ht="20.25" customHeight="1">
      <c r="A486" s="123"/>
      <c r="B486" s="124"/>
      <c r="C486" s="128" t="s">
        <v>4206</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5446</v>
      </c>
      <c r="F488" s="159">
        <v>83280</v>
      </c>
    </row>
    <row r="490" spans="1:6" ht="20.25" customHeight="1">
      <c r="A490" s="182"/>
      <c r="B490" s="182"/>
      <c r="C490" s="146" t="s">
        <v>5672</v>
      </c>
      <c r="D490" s="183"/>
      <c r="E490" s="182"/>
      <c r="F490" s="182"/>
    </row>
    <row r="491" spans="1:6" ht="20.25" customHeight="1">
      <c r="A491" s="182"/>
      <c r="B491" s="182"/>
      <c r="C491" s="160" t="s">
        <v>5673</v>
      </c>
      <c r="D491" s="183"/>
      <c r="E491" s="182"/>
      <c r="F491" s="182"/>
    </row>
    <row r="492" spans="1:6" ht="20.25" customHeight="1">
      <c r="A492" s="182"/>
      <c r="B492" s="182"/>
      <c r="C492" s="161" t="s">
        <v>5674</v>
      </c>
      <c r="D492" s="183"/>
      <c r="E492" s="182"/>
      <c r="F492" s="182"/>
    </row>
    <row r="493" spans="1:6" ht="20.25" customHeight="1">
      <c r="A493" s="182"/>
      <c r="B493" s="182"/>
      <c r="C493" s="182"/>
      <c r="D493" s="183"/>
      <c r="E493" s="182"/>
      <c r="F493" s="182"/>
    </row>
    <row r="494" spans="1:6" ht="20.25" customHeight="1">
      <c r="A494" s="126"/>
      <c r="B494" s="129"/>
      <c r="C494" s="125" t="s">
        <v>5645</v>
      </c>
      <c r="D494" s="123"/>
      <c r="E494" s="126"/>
      <c r="F494" s="123"/>
    </row>
    <row r="495" spans="1:6" ht="20.25" customHeight="1">
      <c r="A495" s="126"/>
      <c r="B495" s="129"/>
      <c r="C495" s="127" t="s">
        <v>5646</v>
      </c>
      <c r="D495" s="123"/>
      <c r="E495" s="126"/>
      <c r="F495" s="123"/>
    </row>
    <row r="496" spans="1:6" ht="20.25" customHeight="1">
      <c r="A496" s="126"/>
      <c r="B496" s="129"/>
      <c r="C496" s="127" t="s">
        <v>4155</v>
      </c>
      <c r="D496" s="123"/>
      <c r="E496" s="126"/>
      <c r="F496" s="123"/>
    </row>
    <row r="497" spans="1:6" ht="20.25" customHeight="1">
      <c r="A497" s="126"/>
      <c r="B497" s="129"/>
      <c r="C497" s="128" t="s">
        <v>5647</v>
      </c>
      <c r="D497" s="123"/>
      <c r="E497" s="126"/>
      <c r="F497" s="123"/>
    </row>
    <row r="498" spans="1:6" ht="20.25" customHeight="1">
      <c r="A498" s="126"/>
      <c r="B498" s="129"/>
      <c r="C498" s="128" t="s">
        <v>5648</v>
      </c>
      <c r="D498" s="123"/>
      <c r="E498" s="126"/>
      <c r="F498" s="123"/>
    </row>
    <row r="499" spans="1:6" ht="20.25" customHeight="1">
      <c r="A499" s="126"/>
      <c r="B499" s="129"/>
      <c r="C499" s="128" t="s">
        <v>5649</v>
      </c>
      <c r="D499" s="123"/>
      <c r="E499" s="126"/>
      <c r="F499" s="123"/>
    </row>
    <row r="500" spans="1:6" ht="20.25" customHeight="1">
      <c r="A500" s="126"/>
      <c r="B500" s="129"/>
      <c r="C500" s="128" t="s">
        <v>5650</v>
      </c>
      <c r="D500" s="123"/>
      <c r="E500" s="126"/>
      <c r="F500" s="123"/>
    </row>
    <row r="501" spans="1:6" ht="20.25" customHeight="1">
      <c r="A501" s="126"/>
      <c r="B501" s="129"/>
      <c r="C501" s="128" t="s">
        <v>5651</v>
      </c>
      <c r="D501" s="123"/>
      <c r="E501" s="126"/>
      <c r="F501" s="123"/>
    </row>
    <row r="502" spans="1:6" ht="20.25" customHeight="1">
      <c r="A502" s="126"/>
      <c r="B502" s="129"/>
      <c r="C502" s="127" t="s">
        <v>5652</v>
      </c>
      <c r="D502" s="173"/>
      <c r="E502" s="184"/>
      <c r="F502" s="173"/>
    </row>
    <row r="503" spans="1:6" ht="20.25" customHeight="1">
      <c r="A503" s="126"/>
      <c r="B503" s="129"/>
      <c r="C503" s="128" t="s">
        <v>5653</v>
      </c>
      <c r="D503" s="173"/>
      <c r="E503" s="184"/>
      <c r="F503" s="173"/>
    </row>
    <row r="504" spans="1:6" ht="20.25" customHeight="1">
      <c r="A504" s="126"/>
      <c r="B504" s="129"/>
      <c r="C504" s="127" t="s">
        <v>5654</v>
      </c>
      <c r="D504" s="173"/>
      <c r="E504" s="184"/>
      <c r="F504" s="173"/>
    </row>
    <row r="505" spans="1:6" ht="20.25" customHeight="1">
      <c r="A505" s="126"/>
      <c r="B505" s="129"/>
      <c r="C505" s="128" t="s">
        <v>5655</v>
      </c>
      <c r="D505" s="173"/>
      <c r="E505" s="184"/>
      <c r="F505" s="173"/>
    </row>
    <row r="506" spans="1:6" ht="20.25" customHeight="1">
      <c r="A506" s="126">
        <v>127.73</v>
      </c>
      <c r="B506" s="129" t="s">
        <v>913</v>
      </c>
      <c r="C506" s="128" t="s">
        <v>5499</v>
      </c>
      <c r="D506" s="123">
        <f>D16</f>
        <v>57.6</v>
      </c>
      <c r="E506" s="126" t="s">
        <v>913</v>
      </c>
      <c r="F506" s="123">
        <f>D506*A506</f>
        <v>7357.25</v>
      </c>
    </row>
    <row r="507" spans="1:6" ht="20.25" customHeight="1">
      <c r="A507" s="126"/>
      <c r="B507" s="129"/>
      <c r="C507" s="127" t="s">
        <v>5447</v>
      </c>
      <c r="D507" s="123"/>
      <c r="E507" s="126"/>
      <c r="F507" s="123"/>
    </row>
    <row r="508" spans="1:6" ht="20.25" customHeight="1">
      <c r="A508" s="126"/>
      <c r="B508" s="129"/>
      <c r="C508" s="128" t="s">
        <v>4164</v>
      </c>
      <c r="D508" s="123"/>
      <c r="E508" s="126"/>
      <c r="F508" s="123"/>
    </row>
    <row r="509" spans="1:6" ht="20.25" customHeight="1">
      <c r="A509" s="126"/>
      <c r="B509" s="129"/>
      <c r="C509" s="128" t="s">
        <v>5240</v>
      </c>
      <c r="D509" s="123"/>
      <c r="E509" s="126"/>
      <c r="F509" s="123"/>
    </row>
    <row r="510" spans="1:6" ht="20.25" customHeight="1">
      <c r="A510" s="126"/>
      <c r="B510" s="129"/>
      <c r="C510" s="128" t="s">
        <v>5198</v>
      </c>
      <c r="D510" s="123"/>
      <c r="E510" s="126"/>
      <c r="F510" s="123"/>
    </row>
    <row r="511" spans="1:6" ht="20.25" customHeight="1">
      <c r="A511" s="126"/>
      <c r="B511" s="129"/>
      <c r="C511" s="128" t="s">
        <v>5239</v>
      </c>
      <c r="D511" s="123"/>
      <c r="E511" s="126"/>
      <c r="F511" s="123"/>
    </row>
    <row r="512" spans="1:6" ht="20.25" customHeight="1">
      <c r="A512" s="126"/>
      <c r="B512" s="129"/>
      <c r="C512" s="128" t="s">
        <v>5656</v>
      </c>
      <c r="D512" s="123"/>
      <c r="E512" s="126"/>
      <c r="F512" s="123"/>
    </row>
    <row r="513" spans="1:6" ht="20.25" customHeight="1">
      <c r="A513" s="126"/>
      <c r="B513" s="129"/>
      <c r="C513" s="128" t="s">
        <v>5657</v>
      </c>
      <c r="D513" s="123"/>
      <c r="E513" s="126"/>
      <c r="F513" s="123"/>
    </row>
    <row r="514" spans="1:6" ht="20.25" customHeight="1">
      <c r="A514" s="126"/>
      <c r="B514" s="129"/>
      <c r="C514" s="128" t="s">
        <v>5658</v>
      </c>
      <c r="D514" s="123"/>
      <c r="E514" s="126"/>
      <c r="F514" s="123"/>
    </row>
    <row r="515" spans="1:6" ht="20.25" customHeight="1">
      <c r="A515" s="126">
        <v>41.1</v>
      </c>
      <c r="B515" s="129" t="s">
        <v>913</v>
      </c>
      <c r="C515" s="128" t="s">
        <v>5659</v>
      </c>
      <c r="D515" s="123">
        <f>D26</f>
        <v>57.6</v>
      </c>
      <c r="E515" s="126" t="s">
        <v>913</v>
      </c>
      <c r="F515" s="123">
        <f>D515*A515</f>
        <v>2367.36</v>
      </c>
    </row>
    <row r="516" spans="1:6" ht="20.25" customHeight="1">
      <c r="A516" s="126"/>
      <c r="B516" s="129"/>
      <c r="C516" s="127" t="s">
        <v>4172</v>
      </c>
      <c r="D516" s="123"/>
      <c r="E516" s="126"/>
      <c r="F516" s="123"/>
    </row>
    <row r="517" spans="1:6" ht="20.25" customHeight="1">
      <c r="A517" s="126"/>
      <c r="B517" s="129"/>
      <c r="C517" s="128" t="s">
        <v>5660</v>
      </c>
      <c r="D517" s="123"/>
      <c r="E517" s="126"/>
      <c r="F517" s="123"/>
    </row>
    <row r="518" spans="1:6" ht="20.25" customHeight="1">
      <c r="A518" s="126"/>
      <c r="B518" s="129"/>
      <c r="C518" s="128" t="s">
        <v>5661</v>
      </c>
      <c r="D518" s="123"/>
      <c r="E518" s="126"/>
      <c r="F518" s="123"/>
    </row>
    <row r="519" spans="1:6" ht="20.25" customHeight="1">
      <c r="A519" s="126"/>
      <c r="B519" s="129"/>
      <c r="C519" s="128" t="s">
        <v>5662</v>
      </c>
      <c r="D519" s="123"/>
      <c r="E519" s="126"/>
      <c r="F519" s="123"/>
    </row>
    <row r="520" spans="1:6" ht="20.25" customHeight="1">
      <c r="A520" s="126"/>
      <c r="B520" s="129"/>
      <c r="C520" s="128" t="s">
        <v>5663</v>
      </c>
      <c r="D520" s="123"/>
      <c r="E520" s="126"/>
      <c r="F520" s="123"/>
    </row>
    <row r="521" spans="1:6" ht="20.25" customHeight="1">
      <c r="A521" s="126"/>
      <c r="B521" s="129"/>
      <c r="C521" s="128" t="s">
        <v>5448</v>
      </c>
      <c r="D521" s="123"/>
      <c r="E521" s="126"/>
      <c r="F521" s="123"/>
    </row>
    <row r="522" spans="1:6" ht="20.25" customHeight="1">
      <c r="A522" s="126"/>
      <c r="B522" s="129"/>
      <c r="C522" s="128" t="s">
        <v>5664</v>
      </c>
      <c r="D522" s="123"/>
      <c r="E522" s="126"/>
      <c r="F522" s="123"/>
    </row>
    <row r="523" spans="1:6" ht="20.25" customHeight="1">
      <c r="A523" s="126"/>
      <c r="B523" s="129"/>
      <c r="C523" s="128" t="s">
        <v>5665</v>
      </c>
      <c r="D523" s="123"/>
      <c r="E523" s="126"/>
      <c r="F523" s="123"/>
    </row>
    <row r="524" spans="1:6" ht="20.25" customHeight="1">
      <c r="A524" s="126"/>
      <c r="B524" s="129"/>
      <c r="C524" s="128" t="s">
        <v>5666</v>
      </c>
      <c r="D524" s="123"/>
      <c r="E524" s="126"/>
      <c r="F524" s="123"/>
    </row>
    <row r="525" spans="1:6" ht="20.25" customHeight="1">
      <c r="A525" s="126"/>
      <c r="B525" s="129"/>
      <c r="C525" s="128" t="s">
        <v>5667</v>
      </c>
      <c r="D525" s="123"/>
      <c r="E525" s="126"/>
      <c r="F525" s="123"/>
    </row>
    <row r="526" spans="1:6" ht="20.25" customHeight="1">
      <c r="A526" s="126"/>
      <c r="B526" s="129"/>
      <c r="C526" s="128" t="s">
        <v>5668</v>
      </c>
      <c r="D526" s="123"/>
      <c r="E526" s="126"/>
      <c r="F526" s="123"/>
    </row>
    <row r="527" spans="1:6" ht="20.25" customHeight="1">
      <c r="A527" s="126"/>
      <c r="B527" s="129"/>
      <c r="C527" s="128" t="s">
        <v>5669</v>
      </c>
      <c r="D527" s="123"/>
      <c r="E527" s="126"/>
      <c r="F527" s="123"/>
    </row>
    <row r="528" spans="1:6" ht="20.25" customHeight="1">
      <c r="A528" s="126">
        <v>12.76</v>
      </c>
      <c r="B528" s="129" t="s">
        <v>913</v>
      </c>
      <c r="C528" s="128" t="s">
        <v>5449</v>
      </c>
      <c r="D528" s="123">
        <f>D41</f>
        <v>562</v>
      </c>
      <c r="E528" s="126" t="s">
        <v>913</v>
      </c>
      <c r="F528" s="123">
        <f>SUM(A528*D528)</f>
        <v>7171.12</v>
      </c>
    </row>
    <row r="529" spans="1:6" ht="20.25" customHeight="1">
      <c r="A529" s="126">
        <v>12.76</v>
      </c>
      <c r="B529" s="129" t="s">
        <v>913</v>
      </c>
      <c r="C529" s="128" t="s">
        <v>4184</v>
      </c>
      <c r="D529" s="123">
        <f>D42</f>
        <v>10</v>
      </c>
      <c r="E529" s="126" t="s">
        <v>913</v>
      </c>
      <c r="F529" s="123">
        <f>SUM(A529*D529)</f>
        <v>127.6</v>
      </c>
    </row>
    <row r="530" spans="1:6" ht="20.25" customHeight="1">
      <c r="A530" s="126">
        <v>755</v>
      </c>
      <c r="B530" s="129" t="s">
        <v>154</v>
      </c>
      <c r="C530" s="128" t="s">
        <v>5450</v>
      </c>
      <c r="D530" s="123">
        <f>D60</f>
        <v>1</v>
      </c>
      <c r="E530" s="126" t="s">
        <v>4191</v>
      </c>
      <c r="F530" s="123">
        <f>SUM(A530*D530)</f>
        <v>755</v>
      </c>
    </row>
    <row r="531" spans="1:6" ht="20.25" customHeight="1">
      <c r="A531" s="126">
        <v>2</v>
      </c>
      <c r="B531" s="129" t="s">
        <v>1030</v>
      </c>
      <c r="C531" s="128" t="s">
        <v>5670</v>
      </c>
      <c r="D531" s="123">
        <f>D407</f>
        <v>10652</v>
      </c>
      <c r="E531" s="126" t="s">
        <v>1714</v>
      </c>
      <c r="F531" s="123">
        <f>SUM(A531*D531)</f>
        <v>21304</v>
      </c>
    </row>
    <row r="532" spans="1:6" ht="20.25" customHeight="1">
      <c r="A532" s="126">
        <v>10</v>
      </c>
      <c r="B532" s="129" t="s">
        <v>1030</v>
      </c>
      <c r="C532" s="128" t="s">
        <v>5960</v>
      </c>
      <c r="D532" s="123">
        <f>6255+893+237</f>
        <v>7385</v>
      </c>
      <c r="E532" s="126" t="s">
        <v>1714</v>
      </c>
      <c r="F532" s="123">
        <f>SUM(A532*D532)</f>
        <v>73850</v>
      </c>
    </row>
    <row r="533" spans="1:6" ht="20.25" customHeight="1">
      <c r="A533" s="126"/>
      <c r="B533" s="129"/>
      <c r="C533" s="128" t="s">
        <v>5538</v>
      </c>
      <c r="D533" s="123"/>
      <c r="E533" s="126"/>
      <c r="F533" s="123"/>
    </row>
    <row r="534" spans="1:6" ht="20.25" customHeight="1">
      <c r="A534" s="126"/>
      <c r="B534" s="129"/>
      <c r="C534" s="128" t="s">
        <v>5676</v>
      </c>
      <c r="D534" s="123"/>
      <c r="E534" s="126"/>
      <c r="F534" s="123"/>
    </row>
    <row r="535" spans="1:6" ht="20.25" customHeight="1">
      <c r="A535" s="126">
        <v>1.1499999999999999</v>
      </c>
      <c r="B535" s="129" t="s">
        <v>5544</v>
      </c>
      <c r="C535" s="128" t="str">
        <f>C410</f>
        <v>Cost of hylum sheet 6mm [SR 2020-21 / P.129]</v>
      </c>
      <c r="D535" s="126">
        <f>D410</f>
        <v>1322</v>
      </c>
      <c r="E535" s="129" t="s">
        <v>5544</v>
      </c>
      <c r="F535" s="123">
        <f t="shared" ref="F535:F543" si="20">SUM(A535*D535)</f>
        <v>1520.3</v>
      </c>
    </row>
    <row r="536" spans="1:6" ht="20.25" customHeight="1">
      <c r="A536" s="126">
        <v>12</v>
      </c>
      <c r="B536" s="129" t="s">
        <v>1432</v>
      </c>
      <c r="C536" s="128" t="s">
        <v>4195</v>
      </c>
      <c r="D536" s="126">
        <f t="shared" ref="D536:D543" si="21">D411</f>
        <v>20</v>
      </c>
      <c r="E536" s="126" t="s">
        <v>1714</v>
      </c>
      <c r="F536" s="123">
        <f t="shared" si="20"/>
        <v>240</v>
      </c>
    </row>
    <row r="537" spans="1:6" ht="20.25" customHeight="1">
      <c r="A537" s="126">
        <v>3</v>
      </c>
      <c r="B537" s="129" t="s">
        <v>1432</v>
      </c>
      <c r="C537" s="128" t="s">
        <v>4196</v>
      </c>
      <c r="D537" s="126">
        <f t="shared" si="21"/>
        <v>280</v>
      </c>
      <c r="E537" s="126" t="s">
        <v>1714</v>
      </c>
      <c r="F537" s="123">
        <f t="shared" si="20"/>
        <v>840</v>
      </c>
    </row>
    <row r="538" spans="1:6" ht="20.25" customHeight="1">
      <c r="A538" s="126">
        <v>3</v>
      </c>
      <c r="B538" s="129" t="s">
        <v>1432</v>
      </c>
      <c r="C538" s="128" t="s">
        <v>5452</v>
      </c>
      <c r="D538" s="126">
        <f t="shared" si="21"/>
        <v>48.05</v>
      </c>
      <c r="E538" s="126" t="s">
        <v>1714</v>
      </c>
      <c r="F538" s="123">
        <f t="shared" si="20"/>
        <v>144.15</v>
      </c>
    </row>
    <row r="539" spans="1:6" ht="20.25" customHeight="1">
      <c r="A539" s="126">
        <v>5</v>
      </c>
      <c r="B539" s="129" t="s">
        <v>3440</v>
      </c>
      <c r="C539" s="128" t="s">
        <v>5575</v>
      </c>
      <c r="D539" s="126">
        <f t="shared" si="21"/>
        <v>10.45</v>
      </c>
      <c r="E539" s="129" t="s">
        <v>3440</v>
      </c>
      <c r="F539" s="123">
        <f t="shared" si="20"/>
        <v>52.25</v>
      </c>
    </row>
    <row r="540" spans="1:6" ht="20.25" customHeight="1">
      <c r="A540" s="126">
        <v>127.73</v>
      </c>
      <c r="B540" s="129" t="s">
        <v>913</v>
      </c>
      <c r="C540" s="128" t="s">
        <v>5453</v>
      </c>
      <c r="D540" s="126">
        <f t="shared" si="21"/>
        <v>52.5</v>
      </c>
      <c r="E540" s="129" t="s">
        <v>913</v>
      </c>
      <c r="F540" s="123">
        <f t="shared" si="20"/>
        <v>6705.83</v>
      </c>
    </row>
    <row r="541" spans="1:6" ht="20.25" customHeight="1">
      <c r="A541" s="126">
        <v>41.1</v>
      </c>
      <c r="B541" s="129" t="s">
        <v>913</v>
      </c>
      <c r="C541" s="128" t="s">
        <v>5454</v>
      </c>
      <c r="D541" s="126">
        <f t="shared" si="21"/>
        <v>52.5</v>
      </c>
      <c r="E541" s="129" t="s">
        <v>913</v>
      </c>
      <c r="F541" s="123">
        <f t="shared" si="20"/>
        <v>2157.75</v>
      </c>
    </row>
    <row r="542" spans="1:6" ht="20.25" customHeight="1">
      <c r="A542" s="126">
        <v>12</v>
      </c>
      <c r="B542" s="129" t="s">
        <v>1432</v>
      </c>
      <c r="C542" s="128" t="s">
        <v>5671</v>
      </c>
      <c r="D542" s="126">
        <f t="shared" si="21"/>
        <v>501.25</v>
      </c>
      <c r="E542" s="129" t="s">
        <v>1714</v>
      </c>
      <c r="F542" s="123">
        <f t="shared" si="20"/>
        <v>6015</v>
      </c>
    </row>
    <row r="543" spans="1:6" ht="20.25" customHeight="1">
      <c r="A543" s="126">
        <v>198.5</v>
      </c>
      <c r="B543" s="129" t="s">
        <v>4198</v>
      </c>
      <c r="C543" s="128" t="s">
        <v>4199</v>
      </c>
      <c r="D543" s="126">
        <f t="shared" si="21"/>
        <v>10</v>
      </c>
      <c r="E543" s="129" t="s">
        <v>4200</v>
      </c>
      <c r="F543" s="123">
        <f t="shared" si="20"/>
        <v>1985</v>
      </c>
    </row>
    <row r="544" spans="1:6" ht="20.25" customHeight="1">
      <c r="A544" s="126"/>
      <c r="B544" s="129"/>
      <c r="C544" s="128" t="s">
        <v>4203</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4204</v>
      </c>
      <c r="D546" s="123"/>
      <c r="E546" s="126"/>
      <c r="F546" s="123">
        <f>F545*2%</f>
        <v>2655.85</v>
      </c>
    </row>
    <row r="547" spans="1:6" ht="20.25" customHeight="1">
      <c r="A547" s="126"/>
      <c r="B547" s="129"/>
      <c r="C547" s="128" t="s">
        <v>4205</v>
      </c>
      <c r="D547" s="123"/>
      <c r="E547" s="126"/>
      <c r="F547" s="123">
        <v>1000</v>
      </c>
    </row>
    <row r="548" spans="1:6" ht="20.25" customHeight="1">
      <c r="A548" s="126"/>
      <c r="B548" s="129"/>
      <c r="C548" s="128" t="s">
        <v>4206</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5446</v>
      </c>
      <c r="F550" s="159">
        <v>138500</v>
      </c>
    </row>
    <row r="559" spans="1:6" ht="20.25" customHeight="1">
      <c r="A559" s="185"/>
      <c r="B559" s="185"/>
      <c r="C559" s="148" t="s">
        <v>5680</v>
      </c>
      <c r="D559" s="186"/>
      <c r="E559" s="185"/>
      <c r="F559" s="185"/>
    </row>
    <row r="560" spans="1:6" ht="20.25" customHeight="1">
      <c r="A560" s="185"/>
      <c r="B560" s="185"/>
      <c r="C560" s="154" t="s">
        <v>5681</v>
      </c>
      <c r="D560" s="186"/>
      <c r="E560" s="185"/>
      <c r="F560" s="185"/>
    </row>
    <row r="561" spans="1:6" ht="20.25" customHeight="1">
      <c r="A561" s="149"/>
      <c r="B561" s="150"/>
      <c r="C561" s="151"/>
      <c r="D561" s="152"/>
      <c r="E561" s="149"/>
      <c r="F561" s="152"/>
    </row>
    <row r="562" spans="1:6" ht="20.25" customHeight="1">
      <c r="A562" s="149"/>
      <c r="B562" s="150"/>
      <c r="C562" s="153" t="s">
        <v>5646</v>
      </c>
      <c r="D562" s="152"/>
      <c r="E562" s="149"/>
      <c r="F562" s="152"/>
    </row>
    <row r="563" spans="1:6" ht="20.25" customHeight="1">
      <c r="A563" s="149"/>
      <c r="B563" s="150"/>
      <c r="C563" s="153" t="s">
        <v>4155</v>
      </c>
      <c r="D563" s="152"/>
      <c r="E563" s="149"/>
      <c r="F563" s="152"/>
    </row>
    <row r="564" spans="1:6" ht="20.25" customHeight="1">
      <c r="A564" s="149"/>
      <c r="B564" s="150"/>
      <c r="C564" s="154" t="s">
        <v>5647</v>
      </c>
      <c r="D564" s="152"/>
      <c r="E564" s="149"/>
      <c r="F564" s="152"/>
    </row>
    <row r="565" spans="1:6" ht="20.25" customHeight="1">
      <c r="A565" s="149"/>
      <c r="B565" s="150"/>
      <c r="C565" s="154" t="s">
        <v>5648</v>
      </c>
      <c r="D565" s="152"/>
      <c r="E565" s="149"/>
      <c r="F565" s="152"/>
    </row>
    <row r="566" spans="1:6" ht="20.25" customHeight="1">
      <c r="A566" s="149"/>
      <c r="B566" s="150"/>
      <c r="C566" s="154" t="s">
        <v>5682</v>
      </c>
      <c r="D566" s="152"/>
      <c r="E566" s="149"/>
      <c r="F566" s="152"/>
    </row>
    <row r="567" spans="1:6" ht="20.25" customHeight="1">
      <c r="A567" s="149"/>
      <c r="B567" s="150"/>
      <c r="C567" s="154" t="s">
        <v>5683</v>
      </c>
      <c r="D567" s="152"/>
      <c r="E567" s="149"/>
      <c r="F567" s="152"/>
    </row>
    <row r="568" spans="1:6" ht="20.25" customHeight="1">
      <c r="A568" s="149"/>
      <c r="B568" s="150"/>
      <c r="C568" s="153" t="s">
        <v>5684</v>
      </c>
      <c r="D568" s="187"/>
      <c r="E568" s="188"/>
      <c r="F568" s="187"/>
    </row>
    <row r="569" spans="1:6" ht="20.25" customHeight="1">
      <c r="A569" s="149"/>
      <c r="B569" s="150"/>
      <c r="C569" s="154" t="s">
        <v>5685</v>
      </c>
      <c r="D569" s="187"/>
      <c r="E569" s="188"/>
      <c r="F569" s="187"/>
    </row>
    <row r="570" spans="1:6" ht="20.25" customHeight="1">
      <c r="A570" s="149">
        <v>105.6</v>
      </c>
      <c r="B570" s="150" t="s">
        <v>913</v>
      </c>
      <c r="C570" s="154" t="s">
        <v>5499</v>
      </c>
      <c r="D570" s="152">
        <f>D506</f>
        <v>57.6</v>
      </c>
      <c r="E570" s="149" t="s">
        <v>913</v>
      </c>
      <c r="F570" s="152">
        <f>D570*A570</f>
        <v>6082.56</v>
      </c>
    </row>
    <row r="571" spans="1:6" ht="20.25" customHeight="1">
      <c r="A571" s="149"/>
      <c r="B571" s="150"/>
      <c r="C571" s="153" t="s">
        <v>5447</v>
      </c>
      <c r="D571" s="152">
        <f t="shared" ref="D571:D581" si="22">D507</f>
        <v>0</v>
      </c>
      <c r="E571" s="149"/>
      <c r="F571" s="152"/>
    </row>
    <row r="572" spans="1:6" ht="20.25" customHeight="1">
      <c r="A572" s="149"/>
      <c r="B572" s="150"/>
      <c r="C572" s="154" t="s">
        <v>4164</v>
      </c>
      <c r="D572" s="152">
        <f t="shared" si="22"/>
        <v>0</v>
      </c>
      <c r="E572" s="149"/>
      <c r="F572" s="152"/>
    </row>
    <row r="573" spans="1:6" ht="20.25" customHeight="1">
      <c r="A573" s="149"/>
      <c r="B573" s="150"/>
      <c r="C573" s="154" t="s">
        <v>5240</v>
      </c>
      <c r="D573" s="152">
        <f t="shared" si="22"/>
        <v>0</v>
      </c>
      <c r="E573" s="149"/>
      <c r="F573" s="152"/>
    </row>
    <row r="574" spans="1:6" ht="20.25" customHeight="1">
      <c r="A574" s="149"/>
      <c r="B574" s="150"/>
      <c r="C574" s="154" t="s">
        <v>4166</v>
      </c>
      <c r="D574" s="152">
        <f t="shared" si="22"/>
        <v>0</v>
      </c>
      <c r="E574" s="149"/>
      <c r="F574" s="152"/>
    </row>
    <row r="575" spans="1:6" ht="20.25" customHeight="1">
      <c r="A575" s="149"/>
      <c r="B575" s="150"/>
      <c r="C575" s="154" t="s">
        <v>5239</v>
      </c>
      <c r="D575" s="152">
        <f t="shared" si="22"/>
        <v>0</v>
      </c>
      <c r="E575" s="149"/>
      <c r="F575" s="152"/>
    </row>
    <row r="576" spans="1:6" ht="20.25" customHeight="1">
      <c r="A576" s="149"/>
      <c r="B576" s="150"/>
      <c r="C576" s="154" t="s">
        <v>5686</v>
      </c>
      <c r="D576" s="152">
        <f t="shared" si="22"/>
        <v>0</v>
      </c>
      <c r="E576" s="149"/>
      <c r="F576" s="152"/>
    </row>
    <row r="577" spans="1:6" ht="20.25" customHeight="1">
      <c r="A577" s="149"/>
      <c r="B577" s="150"/>
      <c r="C577" s="154" t="s">
        <v>5657</v>
      </c>
      <c r="D577" s="152">
        <f t="shared" si="22"/>
        <v>0</v>
      </c>
      <c r="E577" s="149"/>
      <c r="F577" s="152"/>
    </row>
    <row r="578" spans="1:6" ht="20.25" customHeight="1">
      <c r="A578" s="149"/>
      <c r="B578" s="150"/>
      <c r="C578" s="154" t="s">
        <v>5658</v>
      </c>
      <c r="D578" s="152">
        <f t="shared" si="22"/>
        <v>0</v>
      </c>
      <c r="E578" s="149"/>
      <c r="F578" s="152"/>
    </row>
    <row r="579" spans="1:6" ht="20.25" customHeight="1">
      <c r="A579" s="149">
        <v>41.1</v>
      </c>
      <c r="B579" s="150" t="s">
        <v>913</v>
      </c>
      <c r="C579" s="154" t="s">
        <v>5659</v>
      </c>
      <c r="D579" s="152">
        <f t="shared" si="22"/>
        <v>57.6</v>
      </c>
      <c r="E579" s="149" t="s">
        <v>913</v>
      </c>
      <c r="F579" s="152">
        <f>D579*A579</f>
        <v>2367.36</v>
      </c>
    </row>
    <row r="580" spans="1:6" ht="20.25" customHeight="1">
      <c r="A580" s="149"/>
      <c r="B580" s="150"/>
      <c r="C580" s="153" t="s">
        <v>4172</v>
      </c>
      <c r="D580" s="152">
        <f t="shared" si="22"/>
        <v>0</v>
      </c>
      <c r="E580" s="149"/>
      <c r="F580" s="152"/>
    </row>
    <row r="581" spans="1:6" ht="20.25" customHeight="1">
      <c r="A581" s="149"/>
      <c r="B581" s="150"/>
      <c r="C581" s="154" t="s">
        <v>5687</v>
      </c>
      <c r="D581" s="152">
        <f t="shared" si="22"/>
        <v>0</v>
      </c>
      <c r="E581" s="149"/>
      <c r="F581" s="152"/>
    </row>
    <row r="582" spans="1:6" ht="20.25" customHeight="1">
      <c r="A582" s="149"/>
      <c r="B582" s="150"/>
      <c r="C582" s="154" t="s">
        <v>5663</v>
      </c>
      <c r="D582" s="152">
        <f t="shared" ref="D582:D592" si="23">D520</f>
        <v>0</v>
      </c>
      <c r="E582" s="149"/>
      <c r="F582" s="152"/>
    </row>
    <row r="583" spans="1:6" ht="20.25" customHeight="1">
      <c r="A583" s="149"/>
      <c r="B583" s="150"/>
      <c r="C583" s="154" t="s">
        <v>5448</v>
      </c>
      <c r="D583" s="152">
        <f t="shared" si="23"/>
        <v>0</v>
      </c>
      <c r="E583" s="149"/>
      <c r="F583" s="152"/>
    </row>
    <row r="584" spans="1:6" ht="20.25" customHeight="1">
      <c r="A584" s="149"/>
      <c r="B584" s="150"/>
      <c r="C584" s="154" t="s">
        <v>5688</v>
      </c>
      <c r="D584" s="152">
        <f t="shared" si="23"/>
        <v>0</v>
      </c>
      <c r="E584" s="149"/>
      <c r="F584" s="152"/>
    </row>
    <row r="585" spans="1:6" ht="20.25" customHeight="1">
      <c r="A585" s="149"/>
      <c r="B585" s="150"/>
      <c r="C585" s="154" t="s">
        <v>5689</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5690</v>
      </c>
      <c r="D587" s="152">
        <f t="shared" si="23"/>
        <v>0</v>
      </c>
      <c r="E587" s="149"/>
      <c r="F587" s="152"/>
    </row>
    <row r="588" spans="1:6" ht="20.25" customHeight="1">
      <c r="A588" s="149"/>
      <c r="B588" s="150"/>
      <c r="C588" s="154" t="s">
        <v>5691</v>
      </c>
      <c r="D588" s="152">
        <f t="shared" si="23"/>
        <v>0</v>
      </c>
      <c r="E588" s="149"/>
      <c r="F588" s="152"/>
    </row>
    <row r="589" spans="1:6" ht="20.25" customHeight="1">
      <c r="A589" s="149"/>
      <c r="B589" s="150"/>
      <c r="C589" s="154" t="s">
        <v>5692</v>
      </c>
      <c r="D589" s="152">
        <f t="shared" si="23"/>
        <v>0</v>
      </c>
      <c r="E589" s="149"/>
      <c r="F589" s="152"/>
    </row>
    <row r="590" spans="1:6" ht="20.25" customHeight="1">
      <c r="A590" s="149">
        <v>19.16</v>
      </c>
      <c r="B590" s="150" t="s">
        <v>913</v>
      </c>
      <c r="C590" s="154" t="s">
        <v>5449</v>
      </c>
      <c r="D590" s="152">
        <f t="shared" si="23"/>
        <v>562</v>
      </c>
      <c r="E590" s="149" t="s">
        <v>913</v>
      </c>
      <c r="F590" s="152">
        <f>SUM(A590*D590)</f>
        <v>10767.92</v>
      </c>
    </row>
    <row r="591" spans="1:6" ht="20.25" customHeight="1">
      <c r="A591" s="149">
        <f>A590</f>
        <v>19.16</v>
      </c>
      <c r="B591" s="150" t="s">
        <v>913</v>
      </c>
      <c r="C591" s="154" t="s">
        <v>4184</v>
      </c>
      <c r="D591" s="152">
        <f t="shared" si="23"/>
        <v>10</v>
      </c>
      <c r="E591" s="149" t="s">
        <v>913</v>
      </c>
      <c r="F591" s="152">
        <f>SUM(A591*D591)</f>
        <v>191.6</v>
      </c>
    </row>
    <row r="592" spans="1:6" ht="20.25" customHeight="1">
      <c r="A592" s="149">
        <v>503</v>
      </c>
      <c r="B592" s="150" t="s">
        <v>154</v>
      </c>
      <c r="C592" s="154" t="s">
        <v>5450</v>
      </c>
      <c r="D592" s="152">
        <f t="shared" si="23"/>
        <v>1</v>
      </c>
      <c r="E592" s="149" t="s">
        <v>4191</v>
      </c>
      <c r="F592" s="152">
        <f>SUM(A592*D592)</f>
        <v>503</v>
      </c>
    </row>
    <row r="593" spans="1:6" ht="20.25" customHeight="1">
      <c r="A593" s="149">
        <v>1</v>
      </c>
      <c r="B593" s="150" t="s">
        <v>1030</v>
      </c>
      <c r="C593" s="154" t="s">
        <v>5693</v>
      </c>
      <c r="D593" s="152">
        <v>5885</v>
      </c>
      <c r="E593" s="149" t="s">
        <v>1714</v>
      </c>
      <c r="F593" s="152">
        <f>SUM(A593*D593)</f>
        <v>5885</v>
      </c>
    </row>
    <row r="594" spans="1:6" ht="20.25" customHeight="1">
      <c r="A594" s="149">
        <v>6</v>
      </c>
      <c r="B594" s="150" t="s">
        <v>1030</v>
      </c>
      <c r="C594" s="154" t="s">
        <v>5694</v>
      </c>
      <c r="D594" s="152">
        <v>2372</v>
      </c>
      <c r="E594" s="149" t="s">
        <v>1714</v>
      </c>
      <c r="F594" s="152">
        <f>SUM(A594*D594)</f>
        <v>14232</v>
      </c>
    </row>
    <row r="595" spans="1:6" ht="20.25" customHeight="1">
      <c r="A595" s="149"/>
      <c r="B595" s="150"/>
      <c r="C595" s="154" t="s">
        <v>5538</v>
      </c>
      <c r="D595" s="152">
        <f>D533</f>
        <v>0</v>
      </c>
      <c r="E595" s="149"/>
      <c r="F595" s="152"/>
    </row>
    <row r="596" spans="1:6" ht="20.25" customHeight="1">
      <c r="A596" s="149"/>
      <c r="B596" s="150"/>
      <c r="C596" s="154" t="s">
        <v>5695</v>
      </c>
      <c r="D596" s="152">
        <f>D534</f>
        <v>0</v>
      </c>
      <c r="E596" s="149"/>
      <c r="F596" s="152"/>
    </row>
    <row r="597" spans="1:6" ht="20.25" customHeight="1">
      <c r="A597" s="149">
        <v>1.44</v>
      </c>
      <c r="B597" s="150" t="s">
        <v>5544</v>
      </c>
      <c r="C597" s="154" t="s">
        <v>5696</v>
      </c>
      <c r="D597" s="152">
        <f>D535</f>
        <v>1322</v>
      </c>
      <c r="E597" s="150" t="s">
        <v>5544</v>
      </c>
      <c r="F597" s="152">
        <f t="shared" ref="F597:F606" si="24">SUM(A597*D597)</f>
        <v>1903.68</v>
      </c>
    </row>
    <row r="598" spans="1:6" ht="20.25" customHeight="1">
      <c r="A598" s="149">
        <v>12</v>
      </c>
      <c r="B598" s="150" t="s">
        <v>1432</v>
      </c>
      <c r="C598" s="154" t="s">
        <v>4195</v>
      </c>
      <c r="D598" s="152">
        <f>D536</f>
        <v>20</v>
      </c>
      <c r="E598" s="149" t="s">
        <v>1714</v>
      </c>
      <c r="F598" s="152">
        <f t="shared" si="24"/>
        <v>240</v>
      </c>
    </row>
    <row r="599" spans="1:6" ht="20.25" customHeight="1">
      <c r="A599" s="149">
        <v>1</v>
      </c>
      <c r="B599" s="150" t="s">
        <v>1432</v>
      </c>
      <c r="C599" s="154" t="s">
        <v>4196</v>
      </c>
      <c r="D599" s="152">
        <f>D537</f>
        <v>280</v>
      </c>
      <c r="E599" s="149" t="s">
        <v>1714</v>
      </c>
      <c r="F599" s="152">
        <f t="shared" si="24"/>
        <v>280</v>
      </c>
    </row>
    <row r="600" spans="1:6" ht="20.25" customHeight="1">
      <c r="A600" s="149">
        <v>3</v>
      </c>
      <c r="B600" s="150" t="s">
        <v>1432</v>
      </c>
      <c r="C600" s="154" t="s">
        <v>5697</v>
      </c>
      <c r="D600" s="152">
        <v>550</v>
      </c>
      <c r="E600" s="149" t="s">
        <v>1714</v>
      </c>
      <c r="F600" s="152">
        <f>SUM(A600*D600)</f>
        <v>1650</v>
      </c>
    </row>
    <row r="601" spans="1:6" ht="20.25" customHeight="1">
      <c r="A601" s="149">
        <v>1</v>
      </c>
      <c r="B601" s="150" t="s">
        <v>1432</v>
      </c>
      <c r="C601" s="154" t="s">
        <v>5698</v>
      </c>
      <c r="D601" s="152">
        <v>144</v>
      </c>
      <c r="E601" s="149" t="s">
        <v>1714</v>
      </c>
      <c r="F601" s="152">
        <f>SUM(A601*D601)</f>
        <v>144</v>
      </c>
    </row>
    <row r="602" spans="1:6" ht="20.25" customHeight="1">
      <c r="A602" s="149">
        <v>5</v>
      </c>
      <c r="B602" s="150" t="s">
        <v>826</v>
      </c>
      <c r="C602" s="154" t="s">
        <v>5699</v>
      </c>
      <c r="D602" s="152">
        <v>295</v>
      </c>
      <c r="E602" s="149" t="s">
        <v>1714</v>
      </c>
      <c r="F602" s="152">
        <f t="shared" si="24"/>
        <v>1475</v>
      </c>
    </row>
    <row r="603" spans="1:6" ht="20.25" customHeight="1">
      <c r="A603" s="149">
        <v>105.6</v>
      </c>
      <c r="B603" s="150" t="s">
        <v>913</v>
      </c>
      <c r="C603" s="154" t="s">
        <v>5453</v>
      </c>
      <c r="D603" s="152">
        <f>D540</f>
        <v>52.5</v>
      </c>
      <c r="E603" s="150" t="s">
        <v>913</v>
      </c>
      <c r="F603" s="152">
        <f t="shared" si="24"/>
        <v>5544</v>
      </c>
    </row>
    <row r="604" spans="1:6" ht="20.25" customHeight="1">
      <c r="A604" s="149">
        <v>41.1</v>
      </c>
      <c r="B604" s="150" t="s">
        <v>913</v>
      </c>
      <c r="C604" s="154" t="s">
        <v>5454</v>
      </c>
      <c r="D604" s="152">
        <f>D541</f>
        <v>52.5</v>
      </c>
      <c r="E604" s="150" t="s">
        <v>913</v>
      </c>
      <c r="F604" s="152">
        <f t="shared" si="24"/>
        <v>2157.75</v>
      </c>
    </row>
    <row r="605" spans="1:6" ht="20.25" customHeight="1">
      <c r="A605" s="149">
        <v>7</v>
      </c>
      <c r="B605" s="150" t="s">
        <v>1432</v>
      </c>
      <c r="C605" s="154" t="s">
        <v>5700</v>
      </c>
      <c r="D605" s="152">
        <v>1898</v>
      </c>
      <c r="E605" s="150" t="s">
        <v>1714</v>
      </c>
      <c r="F605" s="152">
        <f t="shared" si="24"/>
        <v>13286</v>
      </c>
    </row>
    <row r="606" spans="1:6" ht="20.25" customHeight="1">
      <c r="A606" s="149">
        <v>180.5</v>
      </c>
      <c r="B606" s="150" t="s">
        <v>4198</v>
      </c>
      <c r="C606" s="154" t="s">
        <v>4199</v>
      </c>
      <c r="D606" s="152">
        <f>D543</f>
        <v>10</v>
      </c>
      <c r="E606" s="150" t="s">
        <v>4200</v>
      </c>
      <c r="F606" s="152">
        <f t="shared" si="24"/>
        <v>1805</v>
      </c>
    </row>
    <row r="607" spans="1:6" ht="20.25" customHeight="1">
      <c r="A607" s="149"/>
      <c r="B607" s="150"/>
      <c r="C607" s="154" t="s">
        <v>4203</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4204</v>
      </c>
      <c r="D609" s="152"/>
      <c r="E609" s="149"/>
      <c r="F609" s="152">
        <f>F608*2%</f>
        <v>1376.3</v>
      </c>
    </row>
    <row r="610" spans="1:6" ht="20.25" customHeight="1">
      <c r="A610" s="149"/>
      <c r="B610" s="150"/>
      <c r="C610" s="154" t="s">
        <v>4205</v>
      </c>
      <c r="D610" s="152"/>
      <c r="E610" s="149"/>
      <c r="F610" s="152">
        <v>2000</v>
      </c>
    </row>
    <row r="611" spans="1:6" ht="20.25" customHeight="1">
      <c r="A611" s="149"/>
      <c r="B611" s="150"/>
      <c r="C611" s="154" t="s">
        <v>4206</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5446</v>
      </c>
      <c r="F613" s="164">
        <v>73300</v>
      </c>
    </row>
    <row r="614" spans="1:6" ht="20.25" customHeight="1">
      <c r="A614" s="208"/>
      <c r="B614" s="208"/>
      <c r="C614" s="208"/>
      <c r="D614" s="209"/>
      <c r="E614" s="208"/>
      <c r="F614" s="208"/>
    </row>
    <row r="630" spans="1:11" ht="20.25" customHeight="1">
      <c r="A630" s="169"/>
      <c r="B630" s="169"/>
      <c r="C630" s="189" t="s">
        <v>248</v>
      </c>
      <c r="D630" s="169"/>
      <c r="E630" s="171" t="s">
        <v>5227</v>
      </c>
      <c r="F630" s="169"/>
    </row>
    <row r="631" spans="1:11" ht="20.25" customHeight="1">
      <c r="A631" s="169"/>
      <c r="B631" s="169"/>
      <c r="C631" s="190" t="s">
        <v>652</v>
      </c>
      <c r="D631" s="169"/>
      <c r="E631" s="175"/>
      <c r="F631" s="169"/>
    </row>
    <row r="632" spans="1:11" ht="20.25" customHeight="1">
      <c r="A632" s="191" t="s">
        <v>1585</v>
      </c>
      <c r="B632" s="169" t="s">
        <v>975</v>
      </c>
      <c r="C632" s="171" t="s">
        <v>5187</v>
      </c>
      <c r="D632" s="169"/>
      <c r="E632" s="189" t="s">
        <v>4624</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4155</v>
      </c>
      <c r="D636" s="123"/>
      <c r="E636" s="126"/>
      <c r="F636" s="123"/>
      <c r="J636" s="165">
        <v>18975.18</v>
      </c>
      <c r="K636" s="165">
        <v>18650.7</v>
      </c>
    </row>
    <row r="637" spans="1:11" ht="20.25" customHeight="1">
      <c r="A637" s="123"/>
      <c r="B637" s="124"/>
      <c r="C637" s="128" t="s">
        <v>5188</v>
      </c>
      <c r="D637" s="123"/>
      <c r="E637" s="126">
        <f>3.3*3.3*2+6.6+6.6+6.6</f>
        <v>41.58</v>
      </c>
      <c r="F637" s="123"/>
      <c r="J637" s="165">
        <f>J636*100000</f>
        <v>1897518000</v>
      </c>
      <c r="K637" s="165">
        <f>K636*100000</f>
        <v>1865070000</v>
      </c>
    </row>
    <row r="638" spans="1:11" ht="20.25" customHeight="1">
      <c r="A638" s="123"/>
      <c r="B638" s="124"/>
      <c r="C638" s="128" t="s">
        <v>5189</v>
      </c>
      <c r="D638" s="123"/>
      <c r="E638" s="126"/>
      <c r="F638" s="123"/>
      <c r="J638" s="165">
        <f>J637/J635</f>
        <v>2046.76534220541</v>
      </c>
      <c r="K638" s="165">
        <f>K637/K635</f>
        <v>2011.76517787291</v>
      </c>
    </row>
    <row r="639" spans="1:11" ht="20.25" customHeight="1">
      <c r="A639" s="123"/>
      <c r="B639" s="124"/>
      <c r="C639" s="128" t="s">
        <v>5190</v>
      </c>
      <c r="D639" s="123"/>
      <c r="E639" s="126"/>
      <c r="F639" s="123"/>
    </row>
    <row r="640" spans="1:11" ht="20.25" customHeight="1">
      <c r="A640" s="123"/>
      <c r="B640" s="124"/>
      <c r="C640" s="128" t="s">
        <v>5191</v>
      </c>
      <c r="D640" s="123"/>
      <c r="E640" s="126"/>
      <c r="F640" s="123"/>
    </row>
    <row r="641" spans="1:6" ht="20.25" customHeight="1">
      <c r="A641" s="123"/>
      <c r="B641" s="124"/>
      <c r="C641" s="128" t="s">
        <v>5192</v>
      </c>
      <c r="D641" s="123"/>
      <c r="E641" s="126"/>
      <c r="F641" s="123"/>
    </row>
    <row r="642" spans="1:6" ht="20.25" customHeight="1">
      <c r="A642" s="123"/>
      <c r="B642" s="124"/>
      <c r="C642" s="128" t="s">
        <v>5193</v>
      </c>
      <c r="D642" s="123"/>
      <c r="E642" s="126"/>
      <c r="F642" s="123"/>
    </row>
    <row r="643" spans="1:6" ht="20.25" customHeight="1">
      <c r="A643" s="123"/>
      <c r="B643" s="124"/>
      <c r="C643" s="128" t="s">
        <v>5194</v>
      </c>
      <c r="D643" s="123"/>
      <c r="E643" s="126"/>
      <c r="F643" s="123"/>
    </row>
    <row r="644" spans="1:6" ht="20.25" customHeight="1">
      <c r="A644" s="123"/>
      <c r="B644" s="124"/>
      <c r="C644" s="128" t="s">
        <v>5195</v>
      </c>
      <c r="D644" s="123"/>
      <c r="E644" s="126"/>
      <c r="F644" s="123"/>
    </row>
    <row r="645" spans="1:6" ht="20.25" customHeight="1">
      <c r="A645" s="132">
        <v>105.6</v>
      </c>
      <c r="B645" s="124" t="s">
        <v>913</v>
      </c>
      <c r="C645" s="128" t="s">
        <v>5196</v>
      </c>
      <c r="D645" s="123">
        <f>D570</f>
        <v>57.6</v>
      </c>
      <c r="E645" s="126" t="s">
        <v>913</v>
      </c>
      <c r="F645" s="123">
        <f>D645*A645</f>
        <v>6082.56</v>
      </c>
    </row>
    <row r="646" spans="1:6" ht="20.25" customHeight="1">
      <c r="A646" s="179"/>
      <c r="B646" s="124"/>
      <c r="C646" s="127" t="s">
        <v>4163</v>
      </c>
      <c r="D646" s="123"/>
      <c r="E646" s="126"/>
      <c r="F646" s="123"/>
    </row>
    <row r="647" spans="1:6" ht="20.25" customHeight="1">
      <c r="A647" s="123"/>
      <c r="B647" s="124"/>
      <c r="C647" s="128" t="s">
        <v>4164</v>
      </c>
      <c r="D647" s="123"/>
      <c r="E647" s="126"/>
      <c r="F647" s="123"/>
    </row>
    <row r="648" spans="1:6" ht="20.25" customHeight="1">
      <c r="A648" s="123"/>
      <c r="B648" s="124"/>
      <c r="C648" s="128" t="s">
        <v>5197</v>
      </c>
      <c r="D648" s="123"/>
      <c r="E648" s="126"/>
      <c r="F648" s="123"/>
    </row>
    <row r="649" spans="1:6" ht="20.25" customHeight="1">
      <c r="A649" s="123"/>
      <c r="B649" s="124"/>
      <c r="C649" s="128" t="s">
        <v>5198</v>
      </c>
      <c r="D649" s="123"/>
      <c r="E649" s="126"/>
      <c r="F649" s="123"/>
    </row>
    <row r="650" spans="1:6" ht="20.25" customHeight="1">
      <c r="A650" s="123"/>
      <c r="B650" s="124"/>
      <c r="C650" s="128" t="s">
        <v>4167</v>
      </c>
      <c r="D650" s="123"/>
      <c r="E650" s="126"/>
      <c r="F650" s="123"/>
    </row>
    <row r="651" spans="1:6" ht="20.25" customHeight="1">
      <c r="A651" s="123"/>
      <c r="B651" s="124"/>
      <c r="C651" s="128" t="s">
        <v>5199</v>
      </c>
      <c r="D651" s="123"/>
      <c r="E651" s="126"/>
      <c r="F651" s="123"/>
    </row>
    <row r="652" spans="1:6" ht="20.25" customHeight="1">
      <c r="A652" s="123"/>
      <c r="B652" s="124"/>
      <c r="C652" s="128" t="s">
        <v>5200</v>
      </c>
      <c r="D652" s="123"/>
      <c r="E652" s="126"/>
      <c r="F652" s="123"/>
    </row>
    <row r="653" spans="1:6" ht="20.25" customHeight="1">
      <c r="A653" s="123"/>
      <c r="B653" s="124"/>
      <c r="C653" s="128" t="s">
        <v>5201</v>
      </c>
      <c r="D653" s="123"/>
      <c r="E653" s="126"/>
      <c r="F653" s="123"/>
    </row>
    <row r="654" spans="1:6" ht="20.25" customHeight="1">
      <c r="A654" s="123">
        <v>41.1</v>
      </c>
      <c r="B654" s="124" t="s">
        <v>913</v>
      </c>
      <c r="C654" s="128" t="s">
        <v>4171</v>
      </c>
      <c r="D654" s="123">
        <f>D645</f>
        <v>57.6</v>
      </c>
      <c r="E654" s="126" t="s">
        <v>913</v>
      </c>
      <c r="F654" s="123">
        <f>SUM(A654*D654)</f>
        <v>2367.36</v>
      </c>
    </row>
    <row r="655" spans="1:6" ht="20.25" customHeight="1">
      <c r="A655" s="123"/>
      <c r="B655" s="124"/>
      <c r="C655" s="127" t="s">
        <v>4172</v>
      </c>
      <c r="D655" s="123"/>
      <c r="E655" s="126"/>
      <c r="F655" s="123"/>
    </row>
    <row r="656" spans="1:6" ht="20.25" customHeight="1">
      <c r="A656" s="123"/>
      <c r="B656" s="124"/>
      <c r="C656" s="128" t="s">
        <v>5202</v>
      </c>
      <c r="D656" s="123"/>
      <c r="E656" s="126"/>
      <c r="F656" s="123"/>
    </row>
    <row r="657" spans="1:6" ht="20.25" customHeight="1">
      <c r="A657" s="123"/>
      <c r="B657" s="124"/>
      <c r="C657" s="128" t="s">
        <v>5203</v>
      </c>
      <c r="D657" s="123"/>
      <c r="E657" s="126"/>
      <c r="F657" s="123"/>
    </row>
    <row r="658" spans="1:6" ht="20.25" customHeight="1">
      <c r="A658" s="123"/>
      <c r="B658" s="124"/>
      <c r="C658" s="128" t="s">
        <v>5204</v>
      </c>
      <c r="D658" s="123"/>
      <c r="E658" s="126"/>
      <c r="F658" s="123"/>
    </row>
    <row r="659" spans="1:6" ht="20.25" customHeight="1">
      <c r="A659" s="123"/>
      <c r="B659" s="124"/>
      <c r="C659" s="128" t="s">
        <v>5205</v>
      </c>
      <c r="D659" s="123"/>
      <c r="E659" s="126"/>
      <c r="F659" s="123"/>
    </row>
    <row r="660" spans="1:6" ht="20.25" customHeight="1">
      <c r="A660" s="123"/>
      <c r="B660" s="124"/>
      <c r="C660" s="128" t="s">
        <v>5206</v>
      </c>
      <c r="D660" s="123"/>
      <c r="E660" s="126"/>
      <c r="F660" s="123"/>
    </row>
    <row r="661" spans="1:6" ht="20.25" customHeight="1">
      <c r="A661" s="128"/>
      <c r="B661" s="128"/>
      <c r="C661" s="128" t="s">
        <v>5207</v>
      </c>
      <c r="D661" s="128"/>
      <c r="E661" s="128"/>
      <c r="F661" s="128"/>
    </row>
    <row r="662" spans="1:6" ht="20.25" customHeight="1">
      <c r="A662" s="123"/>
      <c r="B662" s="124"/>
      <c r="C662" s="128" t="s">
        <v>4177</v>
      </c>
      <c r="D662" s="123"/>
      <c r="E662" s="126"/>
      <c r="F662" s="123"/>
    </row>
    <row r="663" spans="1:6" ht="20.25" customHeight="1">
      <c r="A663" s="123"/>
      <c r="B663" s="124"/>
      <c r="C663" s="128" t="s">
        <v>5208</v>
      </c>
      <c r="D663" s="123"/>
      <c r="E663" s="126"/>
      <c r="F663" s="123"/>
    </row>
    <row r="664" spans="1:6" ht="20.25" customHeight="1">
      <c r="A664" s="123"/>
      <c r="B664" s="124"/>
      <c r="C664" s="128" t="s">
        <v>5209</v>
      </c>
      <c r="D664" s="123"/>
      <c r="E664" s="126"/>
      <c r="F664" s="123"/>
    </row>
    <row r="665" spans="1:6" ht="20.25" customHeight="1">
      <c r="A665" s="123"/>
      <c r="B665" s="124"/>
      <c r="C665" s="128" t="s">
        <v>5210</v>
      </c>
      <c r="D665" s="123"/>
      <c r="E665" s="126"/>
      <c r="F665" s="123"/>
    </row>
    <row r="666" spans="1:6" ht="20.25" customHeight="1">
      <c r="A666" s="123"/>
      <c r="B666" s="124"/>
      <c r="C666" s="128"/>
      <c r="D666" s="123"/>
      <c r="E666" s="126"/>
      <c r="F666" s="123"/>
    </row>
    <row r="667" spans="1:6" ht="20.25" customHeight="1">
      <c r="A667" s="123">
        <v>11.68</v>
      </c>
      <c r="B667" s="124" t="s">
        <v>913</v>
      </c>
      <c r="C667" s="128" t="s">
        <v>5211</v>
      </c>
      <c r="D667" s="123">
        <f>D590</f>
        <v>562</v>
      </c>
      <c r="E667" s="126" t="s">
        <v>913</v>
      </c>
      <c r="F667" s="123">
        <f>SUM(A667*D667)</f>
        <v>6564.16</v>
      </c>
    </row>
    <row r="668" spans="1:6" ht="20.25" customHeight="1">
      <c r="A668" s="123">
        <f>A667</f>
        <v>11.68</v>
      </c>
      <c r="B668" s="124" t="s">
        <v>913</v>
      </c>
      <c r="C668" s="128" t="s">
        <v>4184</v>
      </c>
      <c r="D668" s="123">
        <f>D591</f>
        <v>10</v>
      </c>
      <c r="E668" s="126" t="s">
        <v>913</v>
      </c>
      <c r="F668" s="123">
        <f>SUM(A668*D668)</f>
        <v>116.8</v>
      </c>
    </row>
    <row r="669" spans="1:6" ht="20.25" customHeight="1">
      <c r="A669" s="123">
        <v>503</v>
      </c>
      <c r="B669" s="124" t="s">
        <v>4191</v>
      </c>
      <c r="C669" s="128" t="s">
        <v>4192</v>
      </c>
      <c r="D669" s="123">
        <f>D592</f>
        <v>1</v>
      </c>
      <c r="E669" s="126" t="s">
        <v>4191</v>
      </c>
      <c r="F669" s="123">
        <f>SUM(A669*D669)</f>
        <v>503</v>
      </c>
    </row>
    <row r="670" spans="1:6" ht="20.25" customHeight="1">
      <c r="A670" s="123">
        <v>1</v>
      </c>
      <c r="B670" s="124" t="s">
        <v>1394</v>
      </c>
      <c r="C670" s="128" t="s">
        <v>5212</v>
      </c>
      <c r="D670" s="123">
        <v>8577</v>
      </c>
      <c r="E670" s="126" t="str">
        <f>B670</f>
        <v>No</v>
      </c>
      <c r="F670" s="123">
        <f t="shared" ref="F670:F680" si="25">SUM(A670*D670)</f>
        <v>8577</v>
      </c>
    </row>
    <row r="671" spans="1:6" ht="20.25" customHeight="1">
      <c r="A671" s="123">
        <v>6</v>
      </c>
      <c r="B671" s="124" t="s">
        <v>1394</v>
      </c>
      <c r="C671" s="128" t="s">
        <v>5213</v>
      </c>
      <c r="D671" s="123">
        <v>2349</v>
      </c>
      <c r="E671" s="126" t="str">
        <f>B671</f>
        <v>No</v>
      </c>
      <c r="F671" s="123">
        <f t="shared" si="25"/>
        <v>14094</v>
      </c>
    </row>
    <row r="672" spans="1:6" ht="20.25" customHeight="1">
      <c r="A672" s="123">
        <v>1.44</v>
      </c>
      <c r="B672" s="124" t="s">
        <v>2283</v>
      </c>
      <c r="C672" s="128" t="s">
        <v>5214</v>
      </c>
      <c r="D672" s="123">
        <f>2*563</f>
        <v>1126</v>
      </c>
      <c r="E672" s="126" t="s">
        <v>2283</v>
      </c>
      <c r="F672" s="123">
        <f t="shared" si="25"/>
        <v>1621.44</v>
      </c>
    </row>
    <row r="673" spans="1:6" ht="20.25" customHeight="1">
      <c r="A673" s="123">
        <v>12</v>
      </c>
      <c r="B673" s="124" t="s">
        <v>1394</v>
      </c>
      <c r="C673" s="128" t="s">
        <v>4195</v>
      </c>
      <c r="D673" s="123">
        <v>20</v>
      </c>
      <c r="E673" s="126" t="s">
        <v>1394</v>
      </c>
      <c r="F673" s="123">
        <f t="shared" si="25"/>
        <v>240</v>
      </c>
    </row>
    <row r="674" spans="1:6" ht="20.25" customHeight="1">
      <c r="A674" s="123">
        <v>1</v>
      </c>
      <c r="B674" s="124" t="s">
        <v>145</v>
      </c>
      <c r="C674" s="128" t="s">
        <v>4196</v>
      </c>
      <c r="D674" s="123">
        <v>280</v>
      </c>
      <c r="E674" s="126" t="s">
        <v>145</v>
      </c>
      <c r="F674" s="123">
        <f t="shared" si="25"/>
        <v>280</v>
      </c>
    </row>
    <row r="675" spans="1:6" ht="20.25" customHeight="1">
      <c r="A675" s="123">
        <v>3</v>
      </c>
      <c r="B675" s="124" t="s">
        <v>1394</v>
      </c>
      <c r="C675" s="128" t="s">
        <v>5215</v>
      </c>
      <c r="D675" s="123">
        <v>47.2</v>
      </c>
      <c r="E675" s="126" t="str">
        <f>B675</f>
        <v>No</v>
      </c>
      <c r="F675" s="123">
        <f t="shared" si="25"/>
        <v>141.6</v>
      </c>
    </row>
    <row r="676" spans="1:6" ht="20.25" customHeight="1">
      <c r="A676" s="123">
        <v>5</v>
      </c>
      <c r="B676" s="124" t="s">
        <v>826</v>
      </c>
      <c r="C676" s="128" t="s">
        <v>5216</v>
      </c>
      <c r="D676" s="123">
        <v>13.5</v>
      </c>
      <c r="E676" s="126" t="str">
        <f>B676</f>
        <v>Rmt</v>
      </c>
      <c r="F676" s="123">
        <f t="shared" si="25"/>
        <v>67.5</v>
      </c>
    </row>
    <row r="677" spans="1:6" ht="20.25" customHeight="1">
      <c r="A677" s="123">
        <v>105.6</v>
      </c>
      <c r="B677" s="124" t="s">
        <v>1645</v>
      </c>
      <c r="C677" s="128" t="s">
        <v>5217</v>
      </c>
      <c r="D677" s="123">
        <v>38.4</v>
      </c>
      <c r="E677" s="126" t="str">
        <f>B677</f>
        <v>Kg</v>
      </c>
      <c r="F677" s="123">
        <f t="shared" si="25"/>
        <v>4055.04</v>
      </c>
    </row>
    <row r="678" spans="1:6" ht="20.25" customHeight="1">
      <c r="A678" s="123">
        <v>41.1</v>
      </c>
      <c r="B678" s="124" t="s">
        <v>1645</v>
      </c>
      <c r="C678" s="128" t="s">
        <v>5218</v>
      </c>
      <c r="D678" s="123">
        <f>D677</f>
        <v>38.4</v>
      </c>
      <c r="E678" s="126" t="str">
        <f>B678</f>
        <v>Kg</v>
      </c>
      <c r="F678" s="123">
        <f t="shared" si="25"/>
        <v>1578.24</v>
      </c>
    </row>
    <row r="679" spans="1:6" ht="20.25" customHeight="1">
      <c r="A679" s="123">
        <v>7</v>
      </c>
      <c r="B679" s="124" t="s">
        <v>1398</v>
      </c>
      <c r="C679" s="128" t="s">
        <v>5219</v>
      </c>
      <c r="D679" s="123">
        <v>1454</v>
      </c>
      <c r="E679" s="126" t="str">
        <f>B679</f>
        <v>Each</v>
      </c>
      <c r="F679" s="123">
        <f t="shared" si="25"/>
        <v>10178</v>
      </c>
    </row>
    <row r="680" spans="1:6" ht="20.25" customHeight="1">
      <c r="A680" s="123">
        <v>180.4</v>
      </c>
      <c r="B680" s="124" t="s">
        <v>5220</v>
      </c>
      <c r="C680" s="128" t="s">
        <v>5221</v>
      </c>
      <c r="D680" s="123">
        <v>10</v>
      </c>
      <c r="E680" s="126" t="s">
        <v>5222</v>
      </c>
      <c r="F680" s="123">
        <f t="shared" si="25"/>
        <v>1804</v>
      </c>
    </row>
    <row r="681" spans="1:6" ht="20.25" customHeight="1">
      <c r="A681" s="123"/>
      <c r="B681" s="124"/>
      <c r="C681" s="128" t="s">
        <v>5223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5224</v>
      </c>
      <c r="D683" s="123"/>
      <c r="E683" s="126"/>
      <c r="F683" s="123">
        <f>F682*(2/100)</f>
        <v>1171.4100000000001</v>
      </c>
    </row>
    <row r="684" spans="1:6" ht="20.25" customHeight="1">
      <c r="A684" s="123"/>
      <c r="B684" s="124"/>
      <c r="C684" s="128" t="s">
        <v>5225</v>
      </c>
      <c r="D684" s="123"/>
      <c r="E684" s="126"/>
      <c r="F684" s="123">
        <v>2000</v>
      </c>
    </row>
    <row r="685" spans="1:6" ht="20.25" customHeight="1">
      <c r="A685" s="123"/>
      <c r="B685" s="124"/>
      <c r="C685" s="128" t="s">
        <v>5226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4223</v>
      </c>
      <c r="F687" s="130">
        <v>62073</v>
      </c>
    </row>
    <row r="799" spans="1:7" ht="20.25" customHeight="1">
      <c r="C799" s="165" t="s">
        <v>5998</v>
      </c>
    </row>
    <row r="800" spans="1:7" ht="20.25" customHeight="1">
      <c r="A800" s="85"/>
      <c r="B800" s="85"/>
      <c r="C800" s="225" t="s">
        <v>5971</v>
      </c>
      <c r="D800" s="225"/>
      <c r="E800" s="85"/>
      <c r="F800" s="85"/>
      <c r="G800" s="20" t="s">
        <v>5159</v>
      </c>
    </row>
    <row r="801" spans="1:7" ht="20.25" customHeight="1">
      <c r="A801" s="85"/>
      <c r="B801" s="85"/>
      <c r="C801" s="226" t="s">
        <v>5972</v>
      </c>
      <c r="D801" s="226"/>
      <c r="E801" s="85"/>
      <c r="F801" s="85"/>
      <c r="G801" s="20"/>
    </row>
    <row r="802" spans="1:7" ht="20.25" customHeight="1">
      <c r="A802" s="85"/>
      <c r="B802" s="85"/>
      <c r="C802" s="85" t="s">
        <v>5737</v>
      </c>
      <c r="D802" s="85"/>
      <c r="E802" s="85"/>
      <c r="F802" s="85"/>
      <c r="G802" s="20"/>
    </row>
    <row r="803" spans="1:7" ht="20.25" customHeight="1">
      <c r="A803" s="85"/>
      <c r="B803" s="85"/>
      <c r="C803" s="85" t="s">
        <v>5973</v>
      </c>
      <c r="D803" s="85"/>
      <c r="E803" s="85" t="s">
        <v>5974</v>
      </c>
      <c r="F803" s="85"/>
      <c r="G803" s="20"/>
    </row>
    <row r="804" spans="1:7" ht="20.25" customHeight="1">
      <c r="A804" s="85"/>
      <c r="B804" s="85"/>
      <c r="C804" s="85" t="s">
        <v>5975</v>
      </c>
      <c r="D804" s="85"/>
      <c r="E804" s="85" t="s">
        <v>5976</v>
      </c>
      <c r="F804" s="85"/>
      <c r="G804" s="20"/>
    </row>
    <row r="805" spans="1:7" ht="20.25" customHeight="1">
      <c r="A805" s="85"/>
      <c r="B805" s="85"/>
      <c r="C805" s="85" t="s">
        <v>5977</v>
      </c>
      <c r="D805" s="85"/>
      <c r="E805" s="85" t="s">
        <v>5978</v>
      </c>
      <c r="F805" s="85"/>
      <c r="G805" s="20"/>
    </row>
    <row r="806" spans="1:7" ht="20.25" customHeight="1">
      <c r="A806" s="85"/>
      <c r="B806" s="85"/>
      <c r="C806" s="85" t="s">
        <v>5979</v>
      </c>
      <c r="D806" s="85"/>
      <c r="E806" s="85" t="s">
        <v>5980</v>
      </c>
      <c r="F806" s="85"/>
      <c r="G806" s="20"/>
    </row>
    <row r="807" spans="1:7" ht="20.25" customHeight="1">
      <c r="A807" s="85"/>
      <c r="B807" s="85"/>
      <c r="C807" s="85" t="s">
        <v>5981</v>
      </c>
      <c r="D807" s="85"/>
      <c r="E807" s="85" t="s">
        <v>5982</v>
      </c>
      <c r="F807" s="85"/>
      <c r="G807" s="20"/>
    </row>
    <row r="808" spans="1:7" ht="20.25" customHeight="1">
      <c r="A808" s="85"/>
      <c r="B808" s="85"/>
      <c r="C808" s="85" t="s">
        <v>5983</v>
      </c>
      <c r="D808" s="85"/>
      <c r="E808" s="226" t="s">
        <v>5984</v>
      </c>
      <c r="F808" s="85"/>
      <c r="G808" s="20"/>
    </row>
    <row r="809" spans="1:7" ht="20.25" customHeight="1">
      <c r="A809" s="85"/>
      <c r="B809" s="85"/>
      <c r="C809" s="85" t="s">
        <v>4420</v>
      </c>
      <c r="D809" s="85"/>
      <c r="E809" s="226" t="s">
        <v>5985</v>
      </c>
      <c r="F809" s="85"/>
      <c r="G809" s="20"/>
    </row>
    <row r="810" spans="1:7" ht="20.25" customHeight="1">
      <c r="A810" s="85"/>
      <c r="B810" s="85"/>
      <c r="C810" s="86" t="s">
        <v>5983</v>
      </c>
      <c r="D810" s="86"/>
      <c r="E810" s="226" t="s">
        <v>5986</v>
      </c>
      <c r="F810" s="85"/>
      <c r="G810" s="20"/>
    </row>
    <row r="811" spans="1:7" ht="20.25" customHeight="1">
      <c r="A811" s="85"/>
      <c r="B811" s="85"/>
      <c r="C811" s="85" t="s">
        <v>5987</v>
      </c>
      <c r="D811" s="85"/>
      <c r="E811" s="226" t="s">
        <v>5988</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5754</v>
      </c>
      <c r="D815" s="90"/>
      <c r="E815" s="227"/>
      <c r="F815" s="215"/>
      <c r="G815" s="20"/>
    </row>
    <row r="816" spans="1:7" ht="20.25" customHeight="1">
      <c r="A816" s="85"/>
      <c r="B816" s="85"/>
      <c r="C816" s="90" t="s">
        <v>5755</v>
      </c>
      <c r="D816" s="90"/>
      <c r="E816" s="227"/>
      <c r="F816" s="215"/>
      <c r="G816" s="20"/>
    </row>
    <row r="817" spans="1:7" ht="20.25" customHeight="1">
      <c r="A817" s="85"/>
      <c r="B817" s="85"/>
      <c r="C817" s="90" t="s">
        <v>5756</v>
      </c>
      <c r="D817" s="90"/>
      <c r="E817" s="227"/>
      <c r="F817" s="215"/>
      <c r="G817" s="20"/>
    </row>
    <row r="818" spans="1:7" ht="20.25" customHeight="1">
      <c r="A818" s="85"/>
      <c r="B818" s="85"/>
      <c r="C818" s="90" t="s">
        <v>5757</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5992</v>
      </c>
      <c r="D820" s="90"/>
      <c r="E820" s="227">
        <f>E812</f>
        <v>57.6</v>
      </c>
      <c r="F820" s="215" t="s">
        <v>913</v>
      </c>
      <c r="G820" s="20">
        <f>E820*A820</f>
        <v>1278.72</v>
      </c>
    </row>
    <row r="821" spans="1:7" ht="20.25" customHeight="1">
      <c r="A821" s="85"/>
      <c r="B821" s="215"/>
      <c r="C821" s="90" t="s">
        <v>5758</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4191</v>
      </c>
      <c r="G830" s="20">
        <f t="shared" si="28"/>
        <v>836</v>
      </c>
    </row>
    <row r="831" spans="1:7" ht="20.25" customHeight="1">
      <c r="A831" s="85"/>
      <c r="B831" s="215"/>
      <c r="C831" s="90" t="s">
        <v>5760</v>
      </c>
      <c r="D831" s="90"/>
      <c r="E831" s="227"/>
      <c r="F831" s="215"/>
      <c r="G831" s="20"/>
    </row>
    <row r="832" spans="1:7" ht="20.25" customHeight="1">
      <c r="A832" s="20">
        <v>31.4</v>
      </c>
      <c r="B832" s="215" t="s">
        <v>5761</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5993</v>
      </c>
      <c r="C833" s="90" t="str">
        <f t="shared" si="29"/>
        <v>Cost of hylum sheet 6mm [SR 2022-23 / P.129]</v>
      </c>
      <c r="D833" s="90"/>
      <c r="E833" s="227">
        <f t="shared" si="30"/>
        <v>1322</v>
      </c>
      <c r="F833" s="215" t="s">
        <v>5993</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4214</v>
      </c>
      <c r="C835" s="90" t="str">
        <f t="shared" si="29"/>
        <v>LED pilot lamps( qtn)</v>
      </c>
      <c r="D835" s="230" t="s">
        <v>2251</v>
      </c>
      <c r="E835" s="227">
        <f t="shared" si="30"/>
        <v>280</v>
      </c>
      <c r="F835" s="215" t="s">
        <v>145</v>
      </c>
      <c r="G835" s="231">
        <f t="shared" si="31"/>
        <v>280</v>
      </c>
    </row>
    <row r="836" spans="1:7" ht="20.25" customHeight="1">
      <c r="A836" s="20">
        <v>5</v>
      </c>
      <c r="B836" s="215" t="s">
        <v>5994</v>
      </c>
      <c r="C836" s="235" t="str">
        <f t="shared" si="29"/>
        <v>1 sqmm PVC copper cable [SR 2022-23 / P.125]</v>
      </c>
      <c r="D836" s="90"/>
      <c r="E836" s="227">
        <f t="shared" si="30"/>
        <v>10.45</v>
      </c>
      <c r="F836" s="215" t="s">
        <v>5994</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5763</v>
      </c>
      <c r="C839" s="235" t="str">
        <f t="shared" si="29"/>
        <v>Painting with primer &amp; suitable colour( qtn)</v>
      </c>
      <c r="D839" s="90"/>
      <c r="E839" s="227">
        <f t="shared" si="30"/>
        <v>10</v>
      </c>
      <c r="F839" s="215" t="s">
        <v>4200</v>
      </c>
      <c r="G839" s="20">
        <f t="shared" si="31"/>
        <v>2756.4</v>
      </c>
    </row>
    <row r="840" spans="1:7" ht="20.25" customHeight="1">
      <c r="A840" s="20">
        <v>68</v>
      </c>
      <c r="B840" s="232" t="s">
        <v>5761</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5765</v>
      </c>
      <c r="D841" s="90"/>
      <c r="E841" s="233"/>
      <c r="F841" s="85"/>
      <c r="G841" s="20"/>
    </row>
    <row r="842" spans="1:7" ht="20.25" customHeight="1">
      <c r="A842" s="20"/>
      <c r="B842" s="85"/>
      <c r="C842" s="90" t="s">
        <v>5995</v>
      </c>
      <c r="D842" s="90"/>
      <c r="E842" s="233"/>
      <c r="F842" s="85"/>
      <c r="G842" s="20"/>
    </row>
    <row r="843" spans="1:7" ht="20.25" customHeight="1">
      <c r="A843" s="20"/>
      <c r="B843" s="85"/>
      <c r="C843" s="90" t="s">
        <v>5996</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5766</v>
      </c>
      <c r="D845" s="90"/>
      <c r="E845" s="90"/>
      <c r="F845" s="85"/>
      <c r="G845" s="20">
        <f>G844*2%</f>
        <v>1218.83</v>
      </c>
    </row>
    <row r="846" spans="1:7" ht="20.25" customHeight="1">
      <c r="A846" s="85"/>
      <c r="B846" s="85"/>
      <c r="C846" s="90" t="s">
        <v>5767</v>
      </c>
      <c r="D846" s="90"/>
      <c r="E846" s="90"/>
      <c r="F846" s="85"/>
      <c r="G846" s="20">
        <f>SUM(G844:G845)</f>
        <v>62160.27</v>
      </c>
    </row>
    <row r="847" spans="1:7" ht="20.25" customHeight="1">
      <c r="A847" s="85"/>
      <c r="B847" s="85"/>
      <c r="C847" s="90" t="s">
        <v>5997</v>
      </c>
      <c r="D847" s="230" t="s">
        <v>2251</v>
      </c>
      <c r="E847" s="90"/>
      <c r="F847" s="85"/>
      <c r="G847" s="20"/>
    </row>
    <row r="848" spans="1:7" ht="20.25" customHeight="1">
      <c r="A848" s="85"/>
      <c r="B848" s="85"/>
      <c r="C848" s="90" t="s">
        <v>5768</v>
      </c>
      <c r="D848" s="90"/>
      <c r="E848" s="90"/>
      <c r="F848" s="85"/>
      <c r="G848" s="20">
        <v>1000</v>
      </c>
    </row>
    <row r="849" spans="1:7" ht="20.25" customHeight="1">
      <c r="A849" s="85"/>
      <c r="B849" s="85"/>
      <c r="C849" s="90" t="s">
        <v>5769</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6001</v>
      </c>
      <c r="D855" s="225"/>
      <c r="E855" s="971" t="s">
        <v>6002</v>
      </c>
      <c r="F855" s="971"/>
      <c r="G855" s="971"/>
    </row>
    <row r="856" spans="1:7" ht="20.25" customHeight="1">
      <c r="A856" s="85"/>
      <c r="B856" s="85"/>
      <c r="C856" s="226" t="s">
        <v>5736</v>
      </c>
      <c r="D856" s="226"/>
      <c r="E856" s="85"/>
      <c r="F856" s="85"/>
      <c r="G856" s="85"/>
    </row>
    <row r="857" spans="1:7" ht="20.25" customHeight="1">
      <c r="A857" s="85"/>
      <c r="B857" s="85"/>
      <c r="C857" s="85" t="s">
        <v>5737</v>
      </c>
      <c r="D857" s="85"/>
      <c r="E857" s="85"/>
      <c r="F857" s="85"/>
      <c r="G857" s="85"/>
    </row>
    <row r="858" spans="1:7" ht="20.25" customHeight="1">
      <c r="A858" s="85"/>
      <c r="B858" s="85"/>
      <c r="C858" s="85" t="s">
        <v>5738</v>
      </c>
      <c r="D858" s="85"/>
      <c r="E858" s="85" t="s">
        <v>5739</v>
      </c>
      <c r="F858" s="85"/>
      <c r="G858" s="85"/>
    </row>
    <row r="859" spans="1:7" ht="20.25" customHeight="1">
      <c r="A859" s="85"/>
      <c r="B859" s="85"/>
      <c r="C859" s="85" t="s">
        <v>5740</v>
      </c>
      <c r="D859" s="85"/>
      <c r="E859" s="85" t="s">
        <v>5741</v>
      </c>
      <c r="F859" s="85"/>
      <c r="G859" s="85"/>
    </row>
    <row r="860" spans="1:7" ht="20.25" customHeight="1">
      <c r="A860" s="85"/>
      <c r="B860" s="85"/>
      <c r="C860" s="85" t="s">
        <v>5742</v>
      </c>
      <c r="D860" s="85"/>
      <c r="E860" s="85" t="s">
        <v>5743</v>
      </c>
      <c r="F860" s="85"/>
      <c r="G860" s="85"/>
    </row>
    <row r="861" spans="1:7" ht="20.25" customHeight="1">
      <c r="A861" s="85"/>
      <c r="B861" s="85"/>
      <c r="C861" s="85" t="s">
        <v>5744</v>
      </c>
      <c r="D861" s="85"/>
      <c r="E861" s="85" t="s">
        <v>5745</v>
      </c>
      <c r="F861" s="85"/>
      <c r="G861" s="85"/>
    </row>
    <row r="862" spans="1:7" ht="20.25" customHeight="1">
      <c r="A862" s="85"/>
      <c r="B862" s="85"/>
      <c r="C862" s="85" t="s">
        <v>5746</v>
      </c>
      <c r="D862" s="85"/>
      <c r="E862" s="85" t="s">
        <v>5747</v>
      </c>
      <c r="F862" s="85"/>
      <c r="G862" s="85"/>
    </row>
    <row r="863" spans="1:7" ht="20.25" customHeight="1">
      <c r="A863" s="85"/>
      <c r="B863" s="85"/>
      <c r="C863" s="85" t="s">
        <v>2245</v>
      </c>
      <c r="D863" s="85"/>
      <c r="E863" s="85" t="s">
        <v>5748</v>
      </c>
      <c r="F863" s="85"/>
      <c r="G863" s="85"/>
    </row>
    <row r="864" spans="1:7" ht="20.25" customHeight="1">
      <c r="A864" s="85"/>
      <c r="B864" s="85"/>
      <c r="C864" s="237" t="s">
        <v>5749</v>
      </c>
      <c r="D864" s="85"/>
      <c r="E864" s="85" t="s">
        <v>5750</v>
      </c>
      <c r="F864" s="85"/>
      <c r="G864" s="85"/>
    </row>
    <row r="865" spans="1:7" ht="20.25" customHeight="1">
      <c r="A865" s="85"/>
      <c r="B865" s="85"/>
      <c r="C865" s="237"/>
      <c r="D865" s="86"/>
      <c r="E865" s="85" t="s">
        <v>5751</v>
      </c>
      <c r="F865" s="85"/>
      <c r="G865" s="85"/>
    </row>
    <row r="866" spans="1:7" ht="20.25" customHeight="1">
      <c r="A866" s="85"/>
      <c r="B866" s="85"/>
      <c r="C866" s="85" t="s">
        <v>5752</v>
      </c>
      <c r="D866" s="85"/>
      <c r="E866" s="85" t="s">
        <v>5753</v>
      </c>
      <c r="F866" s="85"/>
      <c r="G866" s="85"/>
    </row>
    <row r="867" spans="1:7" ht="20.25" customHeight="1">
      <c r="A867" s="85">
        <v>146.25</v>
      </c>
      <c r="B867" s="215" t="s">
        <v>1645</v>
      </c>
      <c r="C867" s="90" t="s">
        <v>5989</v>
      </c>
      <c r="D867" s="90"/>
      <c r="E867" s="227">
        <f>E812</f>
        <v>57.6</v>
      </c>
      <c r="F867" s="215" t="s">
        <v>1645</v>
      </c>
      <c r="G867" s="20">
        <f>E867*A867</f>
        <v>8424</v>
      </c>
    </row>
    <row r="868" spans="1:7" ht="20.25" customHeight="1">
      <c r="A868" s="85">
        <v>7.88</v>
      </c>
      <c r="B868" s="215" t="s">
        <v>1645</v>
      </c>
      <c r="C868" s="90" t="s">
        <v>5990</v>
      </c>
      <c r="D868" s="90"/>
      <c r="E868" s="227">
        <f>E813</f>
        <v>562</v>
      </c>
      <c r="F868" s="215" t="s">
        <v>1645</v>
      </c>
      <c r="G868" s="85">
        <f>A868*E868</f>
        <v>4428.5600000000004</v>
      </c>
    </row>
    <row r="869" spans="1:7" ht="20.25" customHeight="1">
      <c r="A869" s="85">
        <v>7.88</v>
      </c>
      <c r="B869" s="215" t="s">
        <v>1645</v>
      </c>
      <c r="C869" s="90" t="s">
        <v>5991</v>
      </c>
      <c r="D869" s="90"/>
      <c r="E869" s="227">
        <f>E814</f>
        <v>10</v>
      </c>
      <c r="F869" s="215" t="s">
        <v>1645</v>
      </c>
      <c r="G869" s="20">
        <f>A869*E869</f>
        <v>78.8</v>
      </c>
    </row>
    <row r="870" spans="1:7" ht="20.25" customHeight="1">
      <c r="A870" s="85"/>
      <c r="B870" s="215"/>
      <c r="C870" s="90" t="s">
        <v>5754</v>
      </c>
      <c r="D870" s="90"/>
      <c r="E870" s="227"/>
      <c r="F870" s="215"/>
      <c r="G870" s="85"/>
    </row>
    <row r="871" spans="1:7" ht="20.25" customHeight="1">
      <c r="A871" s="85"/>
      <c r="B871" s="215"/>
      <c r="C871" s="90" t="s">
        <v>5755</v>
      </c>
      <c r="D871" s="90"/>
      <c r="E871" s="227"/>
      <c r="F871" s="215"/>
      <c r="G871" s="85"/>
    </row>
    <row r="872" spans="1:7" ht="20.25" customHeight="1">
      <c r="A872" s="85"/>
      <c r="B872" s="215"/>
      <c r="C872" s="90" t="s">
        <v>5756</v>
      </c>
      <c r="D872" s="90"/>
      <c r="E872" s="227"/>
      <c r="F872" s="215"/>
      <c r="G872" s="85"/>
    </row>
    <row r="873" spans="1:7" ht="20.25" customHeight="1">
      <c r="A873" s="85"/>
      <c r="B873" s="215"/>
      <c r="C873" s="90" t="s">
        <v>5757</v>
      </c>
      <c r="D873" s="90"/>
      <c r="E873" s="227"/>
      <c r="F873" s="215"/>
      <c r="G873" s="85"/>
    </row>
    <row r="874" spans="1:7" ht="20.25" customHeight="1">
      <c r="A874" s="20">
        <v>8</v>
      </c>
      <c r="B874" s="215" t="s">
        <v>1645</v>
      </c>
      <c r="C874" s="90" t="s">
        <v>6003</v>
      </c>
      <c r="D874" s="90"/>
      <c r="E874" s="229">
        <f>E819</f>
        <v>115</v>
      </c>
      <c r="F874" s="215" t="s">
        <v>1645</v>
      </c>
      <c r="G874" s="20">
        <f t="shared" ref="G874:G885" si="32">A874*E874</f>
        <v>920</v>
      </c>
    </row>
    <row r="875" spans="1:7" ht="20.25" customHeight="1">
      <c r="A875" s="20">
        <v>18.8</v>
      </c>
      <c r="B875" s="215" t="s">
        <v>913</v>
      </c>
      <c r="C875" s="90" t="s">
        <v>5992</v>
      </c>
      <c r="D875" s="90"/>
      <c r="E875" s="229">
        <f>E820</f>
        <v>57.6</v>
      </c>
      <c r="F875" s="215" t="s">
        <v>913</v>
      </c>
      <c r="G875" s="20">
        <f>A875*E875</f>
        <v>1082.8800000000001</v>
      </c>
    </row>
    <row r="876" spans="1:7" ht="20.25" customHeight="1">
      <c r="A876" s="85"/>
      <c r="B876" s="215"/>
      <c r="C876" s="90" t="s">
        <v>5758</v>
      </c>
      <c r="D876" s="90"/>
      <c r="E876" s="229">
        <f>E821</f>
        <v>0</v>
      </c>
      <c r="F876" s="215"/>
      <c r="G876" s="20"/>
    </row>
    <row r="877" spans="1:7" ht="20.25" customHeight="1">
      <c r="A877" s="20">
        <v>3</v>
      </c>
      <c r="B877" s="215" t="s">
        <v>1432</v>
      </c>
      <c r="C877" s="90" t="s">
        <v>6004</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4191</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5993</v>
      </c>
      <c r="C888" s="90" t="str">
        <f t="shared" si="33"/>
        <v>Cost of hylum sheet 6mm [SR 2022-23 / P.129]</v>
      </c>
      <c r="D888" s="90"/>
      <c r="E888" s="229">
        <f t="shared" si="34"/>
        <v>1322</v>
      </c>
      <c r="F888" s="215" t="s">
        <v>5993</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5994</v>
      </c>
      <c r="C891" s="235" t="str">
        <f t="shared" si="33"/>
        <v>1 sqmm PVC copper cable [SR 2022-23 / P.125]</v>
      </c>
      <c r="D891" s="235"/>
      <c r="E891" s="242">
        <f t="shared" si="34"/>
        <v>10.45</v>
      </c>
      <c r="F891" s="240" t="s">
        <v>5994</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5763</v>
      </c>
      <c r="C894" s="235" t="str">
        <f t="shared" si="33"/>
        <v>Painting with primer &amp; suitable colour( qtn)</v>
      </c>
      <c r="D894" s="235"/>
      <c r="E894" s="242">
        <f t="shared" si="34"/>
        <v>10</v>
      </c>
      <c r="F894" s="240" t="s">
        <v>4200</v>
      </c>
      <c r="G894" s="239">
        <f t="shared" si="35"/>
        <v>2272.8000000000002</v>
      </c>
    </row>
    <row r="895" spans="1:7" ht="20.25" customHeight="1">
      <c r="A895" s="239">
        <v>50</v>
      </c>
      <c r="B895" s="245" t="s">
        <v>5761</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5765</v>
      </c>
      <c r="D896" s="235"/>
      <c r="E896" s="247"/>
      <c r="F896" s="246"/>
      <c r="G896" s="239"/>
    </row>
    <row r="897" spans="1:7" ht="20.25" customHeight="1">
      <c r="A897" s="239"/>
      <c r="B897" s="246"/>
      <c r="C897" s="235" t="s">
        <v>6005</v>
      </c>
      <c r="D897" s="235"/>
      <c r="E897" s="247"/>
      <c r="F897" s="246"/>
      <c r="G897" s="239"/>
    </row>
    <row r="898" spans="1:7" ht="20.25" customHeight="1">
      <c r="A898" s="239"/>
      <c r="B898" s="246"/>
      <c r="C898" s="235" t="s">
        <v>5996</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5766</v>
      </c>
      <c r="D900" s="235"/>
      <c r="E900" s="235"/>
      <c r="F900" s="246"/>
      <c r="G900" s="239">
        <f>G899*2%</f>
        <v>980.26</v>
      </c>
    </row>
    <row r="901" spans="1:7" ht="20.25" customHeight="1">
      <c r="A901" s="85"/>
      <c r="B901" s="85"/>
      <c r="C901" s="90" t="s">
        <v>5767</v>
      </c>
      <c r="D901" s="90"/>
      <c r="E901" s="90"/>
      <c r="F901" s="85"/>
      <c r="G901" s="20">
        <f>SUM(G899:G900)</f>
        <v>49993.18</v>
      </c>
    </row>
    <row r="902" spans="1:7" ht="20.25" customHeight="1">
      <c r="A902" s="85"/>
      <c r="B902" s="85"/>
      <c r="C902" s="90" t="s">
        <v>5997</v>
      </c>
      <c r="D902" s="230" t="s">
        <v>2251</v>
      </c>
      <c r="E902" s="90"/>
      <c r="F902" s="85"/>
      <c r="G902" s="20"/>
    </row>
    <row r="903" spans="1:7" ht="20.25" customHeight="1">
      <c r="A903" s="85"/>
      <c r="B903" s="85"/>
      <c r="C903" s="90" t="s">
        <v>5768</v>
      </c>
      <c r="D903" s="90"/>
      <c r="E903" s="90"/>
      <c r="F903" s="85"/>
      <c r="G903" s="85">
        <v>1000</v>
      </c>
    </row>
    <row r="904" spans="1:7" ht="20.25" customHeight="1">
      <c r="A904" s="85"/>
      <c r="B904" s="85"/>
      <c r="C904" s="90" t="s">
        <v>5769</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964" t="s">
        <v>3985</v>
      </c>
      <c r="B1" s="964"/>
      <c r="C1" s="964"/>
      <c r="D1" s="964"/>
      <c r="E1" s="964"/>
      <c r="F1" s="964"/>
    </row>
    <row r="2" spans="1:7" ht="17.25">
      <c r="A2" s="964" t="s">
        <v>3984</v>
      </c>
      <c r="B2" s="964"/>
      <c r="C2" s="964"/>
      <c r="D2" s="964"/>
      <c r="E2" s="964"/>
      <c r="F2" s="964"/>
    </row>
    <row r="3" spans="1:7" ht="31.5" customHeight="1">
      <c r="A3" s="965" t="s">
        <v>4140</v>
      </c>
      <c r="B3" s="965"/>
      <c r="C3" s="965"/>
      <c r="D3" s="965"/>
      <c r="E3" s="965"/>
      <c r="F3" s="965"/>
    </row>
    <row r="4" spans="1:7" ht="17.25">
      <c r="A4" s="966" t="s">
        <v>4627</v>
      </c>
      <c r="B4" s="966"/>
      <c r="C4" s="966"/>
      <c r="D4" s="966"/>
      <c r="E4" s="966"/>
      <c r="F4" s="66"/>
    </row>
    <row r="5" spans="1:7" ht="6" customHeight="1">
      <c r="A5" s="66"/>
      <c r="B5" s="66"/>
      <c r="C5" s="66"/>
      <c r="D5" s="66"/>
      <c r="E5" s="66"/>
      <c r="F5" s="66"/>
    </row>
    <row r="6" spans="1:7" ht="45.75" customHeight="1">
      <c r="B6" s="84"/>
      <c r="C6" s="967" t="s">
        <v>4629</v>
      </c>
      <c r="D6" s="967"/>
      <c r="E6" s="967"/>
      <c r="F6" s="84"/>
      <c r="G6" s="2" t="s">
        <v>2151</v>
      </c>
    </row>
    <row r="7" spans="1:7" ht="24" customHeight="1">
      <c r="A7" s="83"/>
      <c r="B7" s="960" t="s">
        <v>4628</v>
      </c>
      <c r="C7" s="960"/>
      <c r="D7" s="960"/>
      <c r="E7" s="960"/>
      <c r="F7" s="960"/>
      <c r="G7" s="5">
        <f>3.14/4*0.5*0.5*8</f>
        <v>1.57</v>
      </c>
    </row>
    <row r="8" spans="1:7" ht="28.5" customHeight="1">
      <c r="A8" s="75"/>
      <c r="B8" s="75"/>
      <c r="C8" s="82" t="s">
        <v>3982</v>
      </c>
      <c r="D8" s="75"/>
      <c r="E8" s="75"/>
      <c r="F8" s="75"/>
    </row>
    <row r="9" spans="1:7" ht="30.75" customHeight="1">
      <c r="A9" s="77">
        <f>G7</f>
        <v>1.57</v>
      </c>
      <c r="B9" s="75" t="s">
        <v>2151</v>
      </c>
      <c r="C9" s="75" t="s">
        <v>4012</v>
      </c>
      <c r="D9" s="66"/>
      <c r="E9" s="76">
        <f>Data!Y689</f>
        <v>8433.1</v>
      </c>
      <c r="F9" s="76">
        <f>A9*E9</f>
        <v>13239.97</v>
      </c>
    </row>
    <row r="10" spans="1:7" ht="30.75" customHeight="1">
      <c r="A10" s="81">
        <f>A9*10/100</f>
        <v>0.157</v>
      </c>
      <c r="B10" s="75" t="s">
        <v>528</v>
      </c>
      <c r="C10" s="75" t="s">
        <v>5641</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21869.82</v>
      </c>
    </row>
    <row r="14" spans="1:7" ht="21" customHeight="1">
      <c r="A14" s="75"/>
      <c r="B14" s="75"/>
      <c r="C14" s="75" t="s">
        <v>1639</v>
      </c>
      <c r="D14" s="66"/>
      <c r="E14" s="75"/>
      <c r="F14" s="76">
        <f>F13/7</f>
        <v>3124.26</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3249.26</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961" t="s">
        <v>3976</v>
      </c>
      <c r="D21" s="961"/>
      <c r="E21" s="961"/>
      <c r="F21" s="80"/>
    </row>
    <row r="22" spans="1:13" ht="30.75" customHeight="1">
      <c r="A22" s="79"/>
      <c r="B22" s="960" t="s">
        <v>4630</v>
      </c>
      <c r="C22" s="960"/>
      <c r="D22" s="960"/>
      <c r="E22" s="960"/>
      <c r="F22" s="960"/>
      <c r="G22" s="5">
        <v>0.442</v>
      </c>
    </row>
    <row r="23" spans="1:13" ht="30.75" customHeight="1">
      <c r="A23" s="75"/>
      <c r="B23" s="75"/>
      <c r="C23" s="78" t="s">
        <v>3974</v>
      </c>
      <c r="D23" s="75"/>
      <c r="E23" s="75"/>
      <c r="F23" s="75"/>
    </row>
    <row r="24" spans="1:13" ht="30.75" customHeight="1">
      <c r="A24" s="76">
        <f>G22</f>
        <v>0.44</v>
      </c>
      <c r="B24" s="75" t="s">
        <v>2151</v>
      </c>
      <c r="C24" s="75" t="s">
        <v>4305</v>
      </c>
      <c r="D24" s="66"/>
      <c r="E24" s="76">
        <f>5800*1.1</f>
        <v>6380</v>
      </c>
      <c r="F24" s="76">
        <f>A24*E24</f>
        <v>2807.2</v>
      </c>
    </row>
    <row r="25" spans="1:13" ht="42.75" customHeight="1">
      <c r="A25" s="76">
        <f>+A24</f>
        <v>0.44</v>
      </c>
      <c r="B25" s="75" t="s">
        <v>2151</v>
      </c>
      <c r="C25" s="962" t="s">
        <v>4306</v>
      </c>
      <c r="D25" s="962"/>
      <c r="E25" s="76">
        <f>11.13*5</f>
        <v>55.65</v>
      </c>
      <c r="F25" s="76">
        <f>E25*A25</f>
        <v>24.49</v>
      </c>
      <c r="G25" s="4" t="s">
        <v>5677</v>
      </c>
      <c r="I25">
        <f>8.69*0.125</f>
        <v>1.0900000000000001</v>
      </c>
    </row>
    <row r="26" spans="1:13" ht="36" customHeight="1">
      <c r="A26" s="76">
        <f>+A25</f>
        <v>0.44</v>
      </c>
      <c r="B26" s="75" t="s">
        <v>2151</v>
      </c>
      <c r="C26" s="75" t="s">
        <v>4307</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963" t="s">
        <v>3971</v>
      </c>
      <c r="D30" s="963"/>
      <c r="E30" s="963"/>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4308</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3992</v>
      </c>
    </row>
    <row r="41" spans="1:10" ht="24" customHeight="1">
      <c r="A41" s="5">
        <v>5</v>
      </c>
      <c r="B41" t="s">
        <v>1341</v>
      </c>
      <c r="C41" t="s">
        <v>3999</v>
      </c>
      <c r="D41">
        <f>Data!V706</f>
        <v>1582.2</v>
      </c>
      <c r="F41">
        <f>D41*A41</f>
        <v>7911</v>
      </c>
      <c r="H41">
        <f>F41</f>
        <v>7911</v>
      </c>
    </row>
    <row r="42" spans="1:10" ht="24" customHeight="1">
      <c r="A42" s="5">
        <v>3.3</v>
      </c>
      <c r="B42" t="s">
        <v>1341</v>
      </c>
      <c r="C42" t="s">
        <v>4000</v>
      </c>
      <c r="D42">
        <f>Data!V707</f>
        <v>1292.2</v>
      </c>
      <c r="F42">
        <f t="shared" ref="F42:F48" si="0">D42*A42</f>
        <v>4264.26</v>
      </c>
      <c r="H42">
        <f t="shared" ref="H42:H50" si="1">F42</f>
        <v>4264.26</v>
      </c>
    </row>
    <row r="43" spans="1:10" ht="24" customHeight="1">
      <c r="A43" s="5">
        <v>4.79</v>
      </c>
      <c r="B43" t="s">
        <v>1341</v>
      </c>
      <c r="C43" t="s">
        <v>4001</v>
      </c>
      <c r="D43">
        <f>Data!V708</f>
        <v>2074.06</v>
      </c>
      <c r="F43">
        <f t="shared" si="0"/>
        <v>9934.75</v>
      </c>
      <c r="H43">
        <f t="shared" si="1"/>
        <v>9934.75</v>
      </c>
    </row>
    <row r="44" spans="1:10" ht="24" customHeight="1">
      <c r="A44" s="5">
        <v>3.25</v>
      </c>
      <c r="B44" t="s">
        <v>528</v>
      </c>
      <c r="C44" t="s">
        <v>390</v>
      </c>
      <c r="D44">
        <f>Data!V709</f>
        <v>6040</v>
      </c>
      <c r="F44">
        <f t="shared" si="0"/>
        <v>19630</v>
      </c>
      <c r="H44">
        <f t="shared" si="1"/>
        <v>19630</v>
      </c>
    </row>
    <row r="45" spans="1:10" ht="35.25" customHeight="1">
      <c r="A45" s="5">
        <f>3250*0.6%</f>
        <v>19.5</v>
      </c>
      <c r="B45" t="s">
        <v>1645</v>
      </c>
      <c r="C45" s="39" t="s">
        <v>4002</v>
      </c>
      <c r="D45">
        <f>Data!V710</f>
        <v>43.2</v>
      </c>
      <c r="F45">
        <f t="shared" si="0"/>
        <v>842.4</v>
      </c>
      <c r="H45">
        <f t="shared" si="1"/>
        <v>842.4</v>
      </c>
    </row>
    <row r="46" spans="1:10" ht="24" customHeight="1">
      <c r="A46" s="5">
        <v>3.5</v>
      </c>
      <c r="B46" t="s">
        <v>1432</v>
      </c>
      <c r="C46" t="s">
        <v>465</v>
      </c>
      <c r="D46">
        <f>Data!V711</f>
        <v>932</v>
      </c>
      <c r="F46">
        <f t="shared" si="0"/>
        <v>3262</v>
      </c>
      <c r="H46">
        <f t="shared" si="1"/>
        <v>3262</v>
      </c>
    </row>
    <row r="47" spans="1:10" ht="24" customHeight="1">
      <c r="A47" s="5">
        <v>21.2</v>
      </c>
      <c r="B47" t="s">
        <v>1432</v>
      </c>
      <c r="C47" t="s">
        <v>3463</v>
      </c>
      <c r="D47">
        <f>Data!V712</f>
        <v>651</v>
      </c>
      <c r="F47">
        <f t="shared" si="0"/>
        <v>13801.2</v>
      </c>
      <c r="H47">
        <f t="shared" si="1"/>
        <v>13801.2</v>
      </c>
    </row>
    <row r="48" spans="1:10" ht="24" customHeight="1">
      <c r="A48" s="5">
        <v>35.299999999999997</v>
      </c>
      <c r="B48" t="s">
        <v>1432</v>
      </c>
      <c r="C48" t="s">
        <v>3464</v>
      </c>
      <c r="D48">
        <f>Data!V713</f>
        <v>534</v>
      </c>
      <c r="F48">
        <f t="shared" si="0"/>
        <v>18850.2</v>
      </c>
      <c r="H48">
        <f t="shared" si="1"/>
        <v>18850.2</v>
      </c>
    </row>
    <row r="49" spans="1:8" ht="24" customHeight="1">
      <c r="A49" s="5"/>
      <c r="C49" t="s">
        <v>4003</v>
      </c>
      <c r="D49">
        <f>Data!V714</f>
        <v>0</v>
      </c>
      <c r="F49" s="11">
        <f>SUM(F41:F48)</f>
        <v>78495.81</v>
      </c>
      <c r="H49">
        <f t="shared" si="1"/>
        <v>78495.81</v>
      </c>
    </row>
    <row r="50" spans="1:8" ht="24" customHeight="1">
      <c r="A50" s="5"/>
      <c r="C50" t="s">
        <v>4004</v>
      </c>
      <c r="D50">
        <f>Data!V715</f>
        <v>0</v>
      </c>
      <c r="F50" s="11">
        <f>F49/10</f>
        <v>7849.58</v>
      </c>
      <c r="H50">
        <f t="shared" si="1"/>
        <v>7849.58</v>
      </c>
    </row>
    <row r="51" spans="1:8" ht="24" customHeight="1">
      <c r="A51" s="5">
        <v>1</v>
      </c>
      <c r="B51" t="s">
        <v>1341</v>
      </c>
      <c r="C51" t="s">
        <v>4030</v>
      </c>
      <c r="D51">
        <f>Data!V716</f>
        <v>94.2</v>
      </c>
      <c r="F51">
        <f>D51*A51</f>
        <v>94.2</v>
      </c>
    </row>
    <row r="52" spans="1:8" ht="24" customHeight="1">
      <c r="A52" s="5"/>
      <c r="C52" t="s">
        <v>4005</v>
      </c>
      <c r="D52">
        <f>Data!V717</f>
        <v>0</v>
      </c>
      <c r="F52" s="11">
        <f>SUM(F50:F51)</f>
        <v>7943.78</v>
      </c>
      <c r="H52">
        <f>H50</f>
        <v>7849.58</v>
      </c>
    </row>
    <row r="53" spans="1:8">
      <c r="A53" s="46" t="s">
        <v>657</v>
      </c>
      <c r="C53" t="s">
        <v>4006</v>
      </c>
      <c r="D53" t="str">
        <f>Data!V718</f>
        <v>LS</v>
      </c>
      <c r="F53">
        <f>F52*0.5%</f>
        <v>39.72</v>
      </c>
      <c r="H53">
        <f>H52*0.5/100</f>
        <v>39.25</v>
      </c>
    </row>
    <row r="54" spans="1:8">
      <c r="A54" s="5"/>
      <c r="C54" s="11" t="s">
        <v>3588</v>
      </c>
      <c r="E54" s="1"/>
      <c r="F54" s="11">
        <f>SUM(F52:F53)</f>
        <v>7983.5</v>
      </c>
      <c r="H54" s="11">
        <f>SUM(H52:H53)</f>
        <v>7888.83</v>
      </c>
    </row>
    <row r="55" spans="1:8">
      <c r="A55" s="5"/>
      <c r="E55" s="1"/>
      <c r="F55" s="3" t="s">
        <v>1586</v>
      </c>
    </row>
    <row r="56" spans="1:8">
      <c r="A56" s="5"/>
      <c r="C56" s="1" t="s">
        <v>386</v>
      </c>
      <c r="E56" s="1"/>
      <c r="F56" s="11">
        <f>F54+Data!C23</f>
        <v>8219.6</v>
      </c>
    </row>
    <row r="57" spans="1:8">
      <c r="A57" s="5"/>
      <c r="C57" s="1" t="s">
        <v>388</v>
      </c>
      <c r="E57" s="1"/>
      <c r="F57" s="93"/>
    </row>
    <row r="58" spans="1:8">
      <c r="A58" s="5"/>
      <c r="C58" s="1" t="s">
        <v>2232</v>
      </c>
      <c r="E58" s="1"/>
      <c r="F58" s="11">
        <f>F56+Data!C25</f>
        <v>8313.7999999999993</v>
      </c>
    </row>
    <row r="59" spans="1:8">
      <c r="A59" s="5"/>
      <c r="C59" s="1" t="s">
        <v>380</v>
      </c>
      <c r="E59" s="1"/>
      <c r="F59" s="11"/>
    </row>
    <row r="60" spans="1:8">
      <c r="A60" s="5"/>
      <c r="C60" s="1" t="s">
        <v>1532</v>
      </c>
      <c r="E60" s="1"/>
      <c r="F60" s="11">
        <f>F58+Data!C27</f>
        <v>8348</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964" t="s">
        <v>3985</v>
      </c>
      <c r="B65" s="964"/>
      <c r="C65" s="964"/>
      <c r="D65" s="964"/>
      <c r="E65" s="964"/>
      <c r="F65" s="964"/>
    </row>
    <row r="66" spans="1:7" ht="17.25">
      <c r="A66" s="964" t="s">
        <v>3984</v>
      </c>
      <c r="B66" s="964"/>
      <c r="C66" s="964"/>
      <c r="D66" s="964"/>
      <c r="E66" s="964"/>
      <c r="F66" s="964"/>
    </row>
    <row r="67" spans="1:7" ht="17.25">
      <c r="A67" s="965" t="s">
        <v>4140</v>
      </c>
      <c r="B67" s="965"/>
      <c r="C67" s="965"/>
      <c r="D67" s="965"/>
      <c r="E67" s="965"/>
      <c r="F67" s="965"/>
    </row>
    <row r="68" spans="1:7" ht="17.25">
      <c r="A68" s="966" t="s">
        <v>3983</v>
      </c>
      <c r="B68" s="966"/>
      <c r="C68" s="966"/>
      <c r="D68" s="966"/>
      <c r="E68" s="966"/>
      <c r="F68" s="66"/>
    </row>
    <row r="69" spans="1:7" ht="17.25">
      <c r="A69" s="66"/>
      <c r="B69" s="66"/>
      <c r="C69" s="66"/>
      <c r="D69" s="66"/>
      <c r="E69" s="66"/>
      <c r="F69" s="66"/>
    </row>
    <row r="70" spans="1:7" ht="19.5">
      <c r="B70" s="84"/>
      <c r="C70" s="967" t="s">
        <v>4141</v>
      </c>
      <c r="D70" s="967"/>
      <c r="E70" s="967"/>
      <c r="F70" s="84"/>
      <c r="G70" s="2" t="s">
        <v>2151</v>
      </c>
    </row>
    <row r="71" spans="1:7" ht="20.25">
      <c r="A71" s="83"/>
      <c r="B71" s="960" t="s">
        <v>4631</v>
      </c>
      <c r="C71" s="960"/>
      <c r="D71" s="960"/>
      <c r="E71" s="960"/>
      <c r="F71" s="960"/>
      <c r="G71" s="5">
        <v>2.2599999999999998</v>
      </c>
    </row>
    <row r="72" spans="1:7" ht="31.5" customHeight="1">
      <c r="A72" s="75"/>
      <c r="B72" s="75"/>
      <c r="C72" s="112" t="s">
        <v>4632</v>
      </c>
      <c r="D72" s="75"/>
      <c r="E72" s="75"/>
      <c r="F72" s="75"/>
    </row>
    <row r="73" spans="1:7" ht="36.75" customHeight="1">
      <c r="A73" s="77">
        <f>G71</f>
        <v>2.2599999999999998</v>
      </c>
      <c r="B73" s="75" t="s">
        <v>2151</v>
      </c>
      <c r="C73" s="75" t="s">
        <v>4324</v>
      </c>
      <c r="D73" s="66"/>
      <c r="E73" s="76">
        <f>E9</f>
        <v>8433.1</v>
      </c>
      <c r="F73" s="76">
        <f>A73*E73</f>
        <v>19058.810000000001</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27642.81</v>
      </c>
    </row>
    <row r="78" spans="1:7" ht="17.25">
      <c r="A78" s="75"/>
      <c r="B78" s="75"/>
      <c r="C78" s="75" t="s">
        <v>1639</v>
      </c>
      <c r="D78" s="66"/>
      <c r="E78" s="75"/>
      <c r="F78" s="76">
        <f>F77/7</f>
        <v>3948.97</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4073.97</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961" t="s">
        <v>3976</v>
      </c>
      <c r="D85" s="961"/>
      <c r="E85" s="961"/>
      <c r="F85" s="80"/>
      <c r="G85" s="11"/>
    </row>
    <row r="86" spans="1:7" ht="20.25">
      <c r="A86" s="79"/>
      <c r="B86" s="960" t="s">
        <v>4633</v>
      </c>
      <c r="C86" s="960"/>
      <c r="D86" s="960"/>
      <c r="E86" s="960"/>
      <c r="F86" s="960"/>
      <c r="G86">
        <f>3.14*0.6*0.6/4</f>
        <v>0.28000000000000003</v>
      </c>
    </row>
    <row r="87" spans="1:7" ht="39.75" customHeight="1">
      <c r="A87" s="75"/>
      <c r="B87" s="75"/>
      <c r="C87" s="78" t="s">
        <v>3974</v>
      </c>
      <c r="D87" s="75"/>
      <c r="E87" s="75"/>
      <c r="F87" s="75"/>
    </row>
    <row r="88" spans="1:7" ht="17.25">
      <c r="A88" s="77">
        <f>G86</f>
        <v>0.28000000000000003</v>
      </c>
      <c r="B88" s="75" t="s">
        <v>2151</v>
      </c>
      <c r="C88" s="75" t="s">
        <v>4325</v>
      </c>
      <c r="D88" s="66"/>
      <c r="E88" s="76">
        <f>E24</f>
        <v>6380</v>
      </c>
      <c r="F88" s="76">
        <f>A88*E88</f>
        <v>1786.4</v>
      </c>
    </row>
    <row r="89" spans="1:7" ht="17.25">
      <c r="A89" s="77">
        <f>+A88</f>
        <v>0.28000000000000003</v>
      </c>
      <c r="B89" s="75" t="s">
        <v>2151</v>
      </c>
      <c r="C89" s="962" t="s">
        <v>4306</v>
      </c>
      <c r="D89" s="962"/>
      <c r="E89" s="76">
        <f>E25</f>
        <v>55.65</v>
      </c>
      <c r="F89" s="76">
        <f>E89*A89</f>
        <v>15.58</v>
      </c>
    </row>
    <row r="90" spans="1:7" ht="17.25">
      <c r="A90" s="77">
        <f>+A89</f>
        <v>0.28000000000000003</v>
      </c>
      <c r="B90" s="75" t="s">
        <v>2151</v>
      </c>
      <c r="C90" s="75" t="s">
        <v>4307</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963" t="s">
        <v>3971</v>
      </c>
      <c r="D94" s="963"/>
      <c r="E94" s="963"/>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3991</v>
      </c>
    </row>
    <row r="104" spans="1:7" ht="30" hidden="1" customHeight="1">
      <c r="A104" s="5">
        <v>5</v>
      </c>
      <c r="B104" t="s">
        <v>1341</v>
      </c>
      <c r="C104" t="s">
        <v>3999</v>
      </c>
      <c r="D104">
        <f>D41</f>
        <v>1582.2</v>
      </c>
      <c r="F104">
        <f>D104*A104</f>
        <v>7911</v>
      </c>
    </row>
    <row r="105" spans="1:7" ht="30" hidden="1" customHeight="1">
      <c r="A105" s="5">
        <v>3.3</v>
      </c>
      <c r="B105" t="s">
        <v>1341</v>
      </c>
      <c r="C105" t="s">
        <v>4000</v>
      </c>
      <c r="D105">
        <f t="shared" ref="D105:D116" si="2">D42</f>
        <v>1292.2</v>
      </c>
      <c r="F105">
        <f t="shared" ref="F105:F111" si="3">D105*A105</f>
        <v>4264.26</v>
      </c>
    </row>
    <row r="106" spans="1:7" ht="30" hidden="1" customHeight="1">
      <c r="A106" s="5">
        <v>4.79</v>
      </c>
      <c r="B106" t="s">
        <v>1341</v>
      </c>
      <c r="C106" t="s">
        <v>4001</v>
      </c>
      <c r="D106">
        <f t="shared" si="2"/>
        <v>2074.06</v>
      </c>
      <c r="F106">
        <f t="shared" si="3"/>
        <v>9934.75</v>
      </c>
    </row>
    <row r="107" spans="1:7" ht="30" hidden="1" customHeight="1">
      <c r="A107" s="5">
        <v>4</v>
      </c>
      <c r="B107" t="s">
        <v>528</v>
      </c>
      <c r="C107" t="s">
        <v>390</v>
      </c>
      <c r="D107">
        <f t="shared" si="2"/>
        <v>6040</v>
      </c>
      <c r="F107">
        <f t="shared" si="3"/>
        <v>24160</v>
      </c>
    </row>
    <row r="108" spans="1:7" ht="30" hidden="1" customHeight="1">
      <c r="A108" s="5">
        <v>40</v>
      </c>
      <c r="B108" t="s">
        <v>1645</v>
      </c>
      <c r="C108" t="s">
        <v>4008</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4003</v>
      </c>
      <c r="D112">
        <f t="shared" si="2"/>
        <v>0</v>
      </c>
      <c r="F112" s="11">
        <f>SUM(F104:F111)</f>
        <v>83911.41</v>
      </c>
    </row>
    <row r="113" spans="1:7" ht="30" hidden="1" customHeight="1">
      <c r="A113" s="5"/>
      <c r="C113" s="11" t="s">
        <v>4004</v>
      </c>
      <c r="D113">
        <f t="shared" si="2"/>
        <v>0</v>
      </c>
      <c r="F113" s="11">
        <f>F112/10</f>
        <v>8391.14</v>
      </c>
      <c r="G113">
        <f>F113</f>
        <v>8391.14</v>
      </c>
    </row>
    <row r="114" spans="1:7" ht="30" hidden="1" customHeight="1">
      <c r="A114" s="5">
        <v>1</v>
      </c>
      <c r="B114" t="s">
        <v>1341</v>
      </c>
      <c r="C114" t="s">
        <v>3465</v>
      </c>
      <c r="D114">
        <f t="shared" si="2"/>
        <v>94.2</v>
      </c>
      <c r="F114">
        <f>D114</f>
        <v>94.2</v>
      </c>
    </row>
    <row r="115" spans="1:7" ht="30" hidden="1" customHeight="1">
      <c r="A115" s="5"/>
      <c r="C115" t="s">
        <v>4005</v>
      </c>
      <c r="D115">
        <f t="shared" si="2"/>
        <v>0</v>
      </c>
      <c r="F115" s="11">
        <f>SUM(F113:F114)</f>
        <v>8485.34</v>
      </c>
      <c r="G115">
        <f>SUM(G113:G114)</f>
        <v>8391.14</v>
      </c>
    </row>
    <row r="116" spans="1:7" ht="30" hidden="1" customHeight="1">
      <c r="A116" s="46" t="s">
        <v>657</v>
      </c>
      <c r="C116" t="s">
        <v>4006</v>
      </c>
      <c r="D116" t="str">
        <f t="shared" si="2"/>
        <v>LS</v>
      </c>
      <c r="F116">
        <f>F115*0.5%</f>
        <v>42.43</v>
      </c>
      <c r="G116">
        <f>G115*0.5/100</f>
        <v>41.96</v>
      </c>
    </row>
    <row r="117" spans="1:7" ht="30" hidden="1" customHeight="1">
      <c r="A117" s="5"/>
      <c r="C117" s="11" t="s">
        <v>3588</v>
      </c>
      <c r="E117" s="1"/>
      <c r="F117" s="11">
        <f>SUM(F115:F116)</f>
        <v>8527.77</v>
      </c>
      <c r="G117" s="11">
        <f>SUM(G115:G116)</f>
        <v>8433.1</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964" t="s">
        <v>3985</v>
      </c>
      <c r="B125" s="964"/>
      <c r="C125" s="964"/>
      <c r="D125" s="964"/>
      <c r="E125" s="964"/>
      <c r="F125" s="964"/>
    </row>
    <row r="126" spans="1:7" ht="17.25">
      <c r="A126" s="964" t="s">
        <v>3984</v>
      </c>
      <c r="B126" s="964"/>
      <c r="C126" s="964"/>
      <c r="D126" s="964"/>
      <c r="E126" s="964"/>
      <c r="F126" s="964"/>
    </row>
    <row r="127" spans="1:7" ht="17.25">
      <c r="A127" s="965" t="s">
        <v>4140</v>
      </c>
      <c r="B127" s="965"/>
      <c r="C127" s="965"/>
      <c r="D127" s="965"/>
      <c r="E127" s="965"/>
      <c r="F127" s="965"/>
    </row>
    <row r="128" spans="1:7" ht="17.25">
      <c r="A128" s="966" t="s">
        <v>3983</v>
      </c>
      <c r="B128" s="966"/>
      <c r="C128" s="966"/>
      <c r="D128" s="966"/>
      <c r="E128" s="966"/>
      <c r="F128" s="66"/>
    </row>
    <row r="129" spans="1:7" ht="17.25">
      <c r="A129" s="66"/>
      <c r="B129" s="66"/>
      <c r="C129" s="66"/>
      <c r="D129" s="66"/>
      <c r="E129" s="66"/>
      <c r="F129" s="66"/>
    </row>
    <row r="130" spans="1:7" ht="19.5">
      <c r="B130" s="84"/>
      <c r="C130" s="967" t="s">
        <v>4144</v>
      </c>
      <c r="D130" s="967"/>
      <c r="E130" s="967"/>
      <c r="F130" s="84"/>
      <c r="G130" s="2" t="s">
        <v>2151</v>
      </c>
    </row>
    <row r="131" spans="1:7" ht="20.25">
      <c r="A131" s="83"/>
      <c r="B131" s="960" t="s">
        <v>4145</v>
      </c>
      <c r="C131" s="960"/>
      <c r="D131" s="960"/>
      <c r="E131" s="960"/>
      <c r="F131" s="960"/>
      <c r="G131" s="5">
        <f>3.14*0.4*0.4*8/4</f>
        <v>1.0049999999999999</v>
      </c>
    </row>
    <row r="132" spans="1:7" ht="34.5" customHeight="1">
      <c r="A132" s="75"/>
      <c r="B132" s="75"/>
      <c r="C132" s="111" t="s">
        <v>4148</v>
      </c>
      <c r="D132" s="75"/>
      <c r="E132" s="75"/>
      <c r="F132" s="75"/>
    </row>
    <row r="133" spans="1:7" ht="17.25">
      <c r="A133" s="77">
        <f>G131</f>
        <v>1.0049999999999999</v>
      </c>
      <c r="B133" s="75" t="s">
        <v>2151</v>
      </c>
      <c r="C133" s="75" t="s">
        <v>3981</v>
      </c>
      <c r="D133" s="66"/>
      <c r="E133" s="76">
        <f>E73</f>
        <v>8433.1</v>
      </c>
      <c r="F133" s="76">
        <f>A133*E133</f>
        <v>8475.27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16557.27</v>
      </c>
    </row>
    <row r="138" spans="1:7" ht="17.25">
      <c r="A138" s="75"/>
      <c r="B138" s="75"/>
      <c r="C138" s="75" t="s">
        <v>1639</v>
      </c>
      <c r="D138" s="66"/>
      <c r="E138" s="75"/>
      <c r="F138" s="76">
        <f>F137/7</f>
        <v>2365.3200000000002</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2490.3200000000002</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961" t="s">
        <v>3976</v>
      </c>
      <c r="D145" s="961"/>
      <c r="E145" s="961"/>
      <c r="F145" s="80"/>
      <c r="G145" s="11"/>
    </row>
    <row r="146" spans="1:7" ht="20.25">
      <c r="A146" s="79"/>
      <c r="B146" s="960" t="s">
        <v>4146</v>
      </c>
      <c r="C146" s="960"/>
      <c r="D146" s="960"/>
      <c r="E146" s="960"/>
      <c r="F146" s="960"/>
      <c r="G146" s="5">
        <f>3.14*0.4*0.4/4</f>
        <v>0.126</v>
      </c>
    </row>
    <row r="147" spans="1:7" ht="17.25">
      <c r="A147" s="75"/>
      <c r="B147" s="75"/>
      <c r="C147" s="78" t="s">
        <v>4149</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962" t="s">
        <v>3972</v>
      </c>
      <c r="D149" s="962"/>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963" t="s">
        <v>3971</v>
      </c>
      <c r="D154" s="963"/>
      <c r="E154" s="963"/>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964" t="s">
        <v>3985</v>
      </c>
      <c r="B165" s="964"/>
      <c r="C165" s="964"/>
      <c r="D165" s="964"/>
      <c r="E165" s="964"/>
      <c r="F165" s="964"/>
    </row>
    <row r="166" spans="1:7" ht="17.25">
      <c r="A166" s="964"/>
      <c r="B166" s="964"/>
      <c r="C166" s="964"/>
      <c r="D166" s="964"/>
      <c r="E166" s="964"/>
      <c r="F166" s="964"/>
    </row>
    <row r="167" spans="1:7" ht="17.25">
      <c r="A167" s="965" t="s">
        <v>4140</v>
      </c>
      <c r="B167" s="965"/>
      <c r="C167" s="965"/>
      <c r="D167" s="965"/>
      <c r="E167" s="965"/>
      <c r="F167" s="965"/>
    </row>
    <row r="168" spans="1:7" ht="17.25">
      <c r="A168" s="966" t="s">
        <v>3983</v>
      </c>
      <c r="B168" s="966"/>
      <c r="C168" s="966"/>
      <c r="D168" s="966"/>
      <c r="E168" s="966"/>
      <c r="F168" s="66"/>
    </row>
    <row r="169" spans="1:7" ht="17.25">
      <c r="A169" s="66"/>
      <c r="B169" s="66"/>
      <c r="C169" s="66"/>
      <c r="D169" s="66"/>
      <c r="E169" s="66"/>
      <c r="F169" s="66"/>
    </row>
    <row r="170" spans="1:7" ht="19.5">
      <c r="B170" s="84"/>
      <c r="C170" s="967" t="s">
        <v>4144</v>
      </c>
      <c r="D170" s="967"/>
      <c r="E170" s="967"/>
      <c r="F170" s="84"/>
      <c r="G170" s="2" t="s">
        <v>2151</v>
      </c>
    </row>
    <row r="171" spans="1:7" ht="20.25">
      <c r="A171" s="83"/>
      <c r="B171" s="960" t="s">
        <v>4142</v>
      </c>
      <c r="C171" s="960"/>
      <c r="D171" s="960"/>
      <c r="E171" s="960"/>
      <c r="F171" s="960"/>
      <c r="G171" s="5">
        <f>3.14*0.45*0.45*8/4</f>
        <v>1.272</v>
      </c>
    </row>
    <row r="172" spans="1:7" ht="17.25">
      <c r="A172" s="75"/>
      <c r="B172" s="75"/>
      <c r="C172" s="82" t="s">
        <v>4147</v>
      </c>
      <c r="D172" s="75"/>
      <c r="E172" s="75"/>
      <c r="F172" s="75"/>
    </row>
    <row r="173" spans="1:7" ht="17.25">
      <c r="A173" s="77">
        <f>G171</f>
        <v>1.272</v>
      </c>
      <c r="B173" s="75" t="s">
        <v>2151</v>
      </c>
      <c r="C173" s="75" t="str">
        <f>C9</f>
        <v>Standardised concrete  mix using M 30 Grade concrete in (F&amp;B)</v>
      </c>
      <c r="D173" s="66"/>
      <c r="E173" s="76">
        <f>E9</f>
        <v>8433.1</v>
      </c>
      <c r="F173" s="76">
        <f>A173*E173</f>
        <v>10726.9</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19176.46</v>
      </c>
    </row>
    <row r="178" spans="1:7" ht="17.25">
      <c r="A178" s="75"/>
      <c r="B178" s="75"/>
      <c r="C178" s="75" t="s">
        <v>1639</v>
      </c>
      <c r="D178" s="66"/>
      <c r="E178" s="75"/>
      <c r="F178" s="76">
        <f>F177/7</f>
        <v>2739.49</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2864.49</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961" t="s">
        <v>3976</v>
      </c>
      <c r="D185" s="961"/>
      <c r="E185" s="961"/>
      <c r="F185" s="80"/>
      <c r="G185" s="11"/>
    </row>
    <row r="186" spans="1:7" ht="20.25">
      <c r="A186" s="79"/>
      <c r="B186" s="960" t="s">
        <v>4143</v>
      </c>
      <c r="C186" s="960"/>
      <c r="D186" s="960"/>
      <c r="E186" s="960"/>
      <c r="F186" s="960"/>
      <c r="G186" s="5">
        <f>3.14*0.45*0.45/4</f>
        <v>0.159</v>
      </c>
    </row>
    <row r="187" spans="1:7" ht="17.25">
      <c r="A187" s="75"/>
      <c r="B187" s="75"/>
      <c r="C187" s="78" t="s">
        <v>5644</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962" t="s">
        <v>3972</v>
      </c>
      <c r="D189" s="962"/>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963" t="s">
        <v>3971</v>
      </c>
      <c r="D194" s="963"/>
      <c r="E194" s="963"/>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964" t="s">
        <v>3985</v>
      </c>
      <c r="B203" s="964"/>
      <c r="C203" s="964"/>
      <c r="D203" s="964"/>
      <c r="E203" s="964"/>
      <c r="F203" s="964"/>
    </row>
    <row r="204" spans="1:7" ht="17.25">
      <c r="A204" s="964"/>
      <c r="B204" s="964"/>
      <c r="C204" s="964"/>
      <c r="D204" s="964"/>
      <c r="E204" s="964"/>
      <c r="F204" s="964"/>
    </row>
    <row r="205" spans="1:7" ht="17.25">
      <c r="A205" s="965" t="s">
        <v>4140</v>
      </c>
      <c r="B205" s="965"/>
      <c r="C205" s="965"/>
      <c r="D205" s="965"/>
      <c r="E205" s="965"/>
      <c r="F205" s="965"/>
    </row>
    <row r="206" spans="1:7" ht="17.25">
      <c r="A206" s="966" t="s">
        <v>3983</v>
      </c>
      <c r="B206" s="966"/>
      <c r="C206" s="966"/>
      <c r="D206" s="966"/>
      <c r="E206" s="966"/>
      <c r="F206" s="66"/>
    </row>
    <row r="207" spans="1:7" ht="17.25">
      <c r="A207" s="66"/>
      <c r="B207" s="66"/>
      <c r="C207" s="66"/>
      <c r="D207" s="66"/>
      <c r="E207" s="66"/>
      <c r="F207" s="66"/>
    </row>
    <row r="208" spans="1:7" ht="19.5">
      <c r="B208" s="84"/>
      <c r="C208" s="967" t="s">
        <v>4144</v>
      </c>
      <c r="D208" s="967"/>
      <c r="E208" s="967"/>
      <c r="F208" s="84"/>
      <c r="G208" s="2" t="s">
        <v>2151</v>
      </c>
    </row>
    <row r="209" spans="1:13" ht="20.25">
      <c r="A209" s="83"/>
      <c r="B209" s="960" t="s">
        <v>5724</v>
      </c>
      <c r="C209" s="960"/>
      <c r="D209" s="960"/>
      <c r="E209" s="960"/>
      <c r="F209" s="960"/>
      <c r="G209" s="5">
        <f>3.14*0.23*0.23*2.5/4</f>
        <v>0.104</v>
      </c>
    </row>
    <row r="210" spans="1:13" ht="17.25">
      <c r="A210" s="75"/>
      <c r="B210" s="75"/>
      <c r="C210" s="82" t="s">
        <v>5723</v>
      </c>
      <c r="D210" s="75"/>
      <c r="E210" s="75"/>
      <c r="F210" s="75"/>
    </row>
    <row r="211" spans="1:13" ht="17.25">
      <c r="A211" s="77">
        <f>G209</f>
        <v>0.104</v>
      </c>
      <c r="B211" s="75" t="s">
        <v>2151</v>
      </c>
      <c r="C211" s="75" t="str">
        <f>C173</f>
        <v>Standardised concrete  mix using M 30 Grade concrete in (F&amp;B)</v>
      </c>
      <c r="D211" s="66"/>
      <c r="E211" s="76">
        <f>E173</f>
        <v>8433.1</v>
      </c>
      <c r="F211" s="76">
        <f>A211*E211</f>
        <v>877.04</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8619.9599999999991</v>
      </c>
    </row>
    <row r="216" spans="1:13" ht="17.25">
      <c r="A216" s="75"/>
      <c r="B216" s="75"/>
      <c r="C216" s="75" t="s">
        <v>1639</v>
      </c>
      <c r="D216" s="66"/>
      <c r="E216" s="75"/>
      <c r="F216" s="76">
        <f>F215/8</f>
        <v>1077.5</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1202.5</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961" t="s">
        <v>3976</v>
      </c>
      <c r="D223" s="961"/>
      <c r="E223" s="961"/>
      <c r="F223" s="80"/>
      <c r="G223" s="11"/>
      <c r="J223" s="51"/>
      <c r="L223" s="51"/>
      <c r="M223" s="51"/>
    </row>
    <row r="224" spans="1:13" ht="20.25">
      <c r="A224" s="79"/>
      <c r="B224" s="960" t="s">
        <v>4143</v>
      </c>
      <c r="C224" s="960"/>
      <c r="D224" s="960"/>
      <c r="E224" s="960"/>
      <c r="F224" s="960"/>
      <c r="G224" s="5">
        <f>3.14*0.23*0.23/4</f>
        <v>4.2000000000000003E-2</v>
      </c>
      <c r="L224" s="51"/>
      <c r="M224" s="51"/>
    </row>
    <row r="225" spans="1:13" ht="17.25">
      <c r="A225" s="75"/>
      <c r="B225" s="75"/>
      <c r="C225" s="78" t="s">
        <v>5644</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962" t="s">
        <v>3972</v>
      </c>
      <c r="D227" s="962"/>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963" t="s">
        <v>3971</v>
      </c>
      <c r="D232" s="963"/>
      <c r="E232" s="963"/>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964" t="s">
        <v>3985</v>
      </c>
      <c r="B246" s="964"/>
      <c r="C246" s="964"/>
      <c r="D246" s="964"/>
      <c r="E246" s="964"/>
      <c r="F246" s="964"/>
    </row>
    <row r="247" spans="1:7" ht="17.25">
      <c r="A247" s="964"/>
      <c r="B247" s="964"/>
      <c r="C247" s="964"/>
      <c r="D247" s="964"/>
      <c r="E247" s="964"/>
      <c r="F247" s="964"/>
    </row>
    <row r="248" spans="1:7" ht="17.25">
      <c r="A248" s="965" t="s">
        <v>4140</v>
      </c>
      <c r="B248" s="965"/>
      <c r="C248" s="965"/>
      <c r="D248" s="965"/>
      <c r="E248" s="965"/>
      <c r="F248" s="965"/>
    </row>
    <row r="249" spans="1:7" ht="17.25">
      <c r="A249" s="966" t="s">
        <v>3983</v>
      </c>
      <c r="B249" s="966"/>
      <c r="C249" s="966"/>
      <c r="D249" s="966"/>
      <c r="E249" s="966"/>
      <c r="F249" s="66"/>
    </row>
    <row r="250" spans="1:7" ht="17.25">
      <c r="A250" s="66"/>
      <c r="B250" s="66"/>
      <c r="C250" s="66"/>
      <c r="D250" s="66"/>
      <c r="E250" s="66"/>
      <c r="F250" s="66"/>
    </row>
    <row r="251" spans="1:7" ht="19.5">
      <c r="B251" s="84"/>
      <c r="C251" s="967" t="s">
        <v>4144</v>
      </c>
      <c r="D251" s="967"/>
      <c r="E251" s="967"/>
      <c r="F251" s="84"/>
      <c r="G251" s="2" t="s">
        <v>2151</v>
      </c>
    </row>
    <row r="252" spans="1:7" ht="20.25">
      <c r="A252" s="83"/>
      <c r="B252" s="960" t="s">
        <v>5725</v>
      </c>
      <c r="C252" s="960"/>
      <c r="D252" s="960"/>
      <c r="E252" s="960"/>
      <c r="F252" s="960"/>
      <c r="G252" s="5">
        <f>3.14*0.3*0.3*8/4</f>
        <v>0.56499999999999995</v>
      </c>
    </row>
    <row r="253" spans="1:7" ht="17.25">
      <c r="A253" s="75"/>
      <c r="B253" s="75"/>
      <c r="C253" s="82" t="s">
        <v>4147</v>
      </c>
      <c r="D253" s="75"/>
      <c r="E253" s="75"/>
      <c r="F253" s="75"/>
    </row>
    <row r="254" spans="1:7" ht="17.25">
      <c r="A254" s="77">
        <f>G252</f>
        <v>0.56499999999999995</v>
      </c>
      <c r="B254" s="75" t="s">
        <v>2151</v>
      </c>
      <c r="C254" s="76" t="str">
        <f>C173</f>
        <v>Standardised concrete  mix using M 30 Grade concrete in (F&amp;B)</v>
      </c>
      <c r="D254" s="76"/>
      <c r="E254" s="76">
        <f>E173</f>
        <v>8433.1</v>
      </c>
      <c r="F254" s="76">
        <f>A254*E254</f>
        <v>4764.7</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12786.53</v>
      </c>
    </row>
    <row r="259" spans="1:7" ht="17.25">
      <c r="A259" s="75"/>
      <c r="B259" s="75"/>
      <c r="C259" s="75" t="s">
        <v>1639</v>
      </c>
      <c r="D259" s="66"/>
      <c r="E259" s="76"/>
      <c r="F259" s="76">
        <f>F258/7</f>
        <v>1826.65</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1951.65</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961" t="s">
        <v>3976</v>
      </c>
      <c r="D266" s="961"/>
      <c r="E266" s="961"/>
      <c r="F266" s="80"/>
      <c r="G266" s="11"/>
    </row>
    <row r="267" spans="1:7" ht="20.25">
      <c r="A267" s="79"/>
      <c r="B267" s="960" t="s">
        <v>5726</v>
      </c>
      <c r="C267" s="960"/>
      <c r="D267" s="960"/>
      <c r="E267" s="960"/>
      <c r="F267" s="960"/>
      <c r="G267" s="5">
        <f>3.14*0.3*0.3/4</f>
        <v>7.0999999999999994E-2</v>
      </c>
    </row>
    <row r="268" spans="1:7" ht="17.25">
      <c r="A268" s="75"/>
      <c r="B268" s="75"/>
      <c r="C268" s="78" t="s">
        <v>5644</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962" t="s">
        <v>3972</v>
      </c>
      <c r="D270" s="962"/>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963" t="s">
        <v>3971</v>
      </c>
      <c r="D275" s="963"/>
      <c r="E275" s="963"/>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3888" transitionEvaluation="1"/>
  <dimension ref="A1:AK8296"/>
  <sheetViews>
    <sheetView view="pageBreakPreview" topLeftCell="F3888" zoomScale="87" zoomScaleNormal="60" zoomScaleSheetLayoutView="87" workbookViewId="0">
      <selection activeCell="F3884" sqref="F3884:K389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628" t="s">
        <v>2054</v>
      </c>
      <c r="V1" s="296" t="s">
        <v>249</v>
      </c>
      <c r="W1" s="296" t="s">
        <v>975</v>
      </c>
    </row>
    <row r="2" spans="1:37" hidden="1">
      <c r="B2" s="358" t="s">
        <v>2055</v>
      </c>
      <c r="E2" s="296" t="s">
        <v>975</v>
      </c>
      <c r="H2" s="253" t="s">
        <v>652</v>
      </c>
      <c r="O2" s="253" t="s">
        <v>652</v>
      </c>
      <c r="U2" s="358" t="s">
        <v>2055</v>
      </c>
    </row>
    <row r="3" spans="1:37" hidden="1">
      <c r="A3" s="296" t="s">
        <v>1585</v>
      </c>
      <c r="B3" s="361" t="s">
        <v>2474</v>
      </c>
      <c r="C3" s="296" t="s">
        <v>2475</v>
      </c>
      <c r="E3" s="296" t="s">
        <v>975</v>
      </c>
      <c r="F3" s="375"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375"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379">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379">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379">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379">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379">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379">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379">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379">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379">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379">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379">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379">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379">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379">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379">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379">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379">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379">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379">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379">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379">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379">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379">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379">
        <f t="shared" si="3"/>
        <v>24</v>
      </c>
      <c r="B33" s="296" t="s">
        <v>444</v>
      </c>
      <c r="C33" s="252">
        <v>3.64</v>
      </c>
      <c r="D33" s="252">
        <f>AE35</f>
        <v>240</v>
      </c>
      <c r="K33" s="358" t="s">
        <v>1586</v>
      </c>
      <c r="T33" s="362"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379">
        <f t="shared" si="3"/>
        <v>25</v>
      </c>
      <c r="B34" s="296" t="s">
        <v>1419</v>
      </c>
      <c r="C34" s="252">
        <v>30000</v>
      </c>
      <c r="D34" s="252">
        <v>30000</v>
      </c>
      <c r="G34" s="252" t="s">
        <v>2251</v>
      </c>
      <c r="H34" s="296" t="s">
        <v>1307</v>
      </c>
      <c r="T34" s="362"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379">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375">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375">
        <v>334.5</v>
      </c>
      <c r="Z36" s="252" t="e">
        <f>Z12</f>
        <v>#REF!</v>
      </c>
      <c r="AA36" s="253">
        <v>0</v>
      </c>
      <c r="AB36" s="296">
        <v>0</v>
      </c>
      <c r="AC36" s="296" t="e">
        <f t="shared" si="4"/>
        <v>#REF!</v>
      </c>
      <c r="AD36" s="296" t="s">
        <v>2525</v>
      </c>
      <c r="AE36" s="375">
        <v>37.299999999999997</v>
      </c>
      <c r="AF36" s="375"/>
      <c r="AG36" s="375"/>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375">
        <v>278.5</v>
      </c>
      <c r="Z37" s="252" t="e">
        <f>Z13</f>
        <v>#REF!</v>
      </c>
      <c r="AA37" s="253">
        <v>0</v>
      </c>
      <c r="AB37" s="296">
        <v>0</v>
      </c>
      <c r="AC37" s="296" t="e">
        <f t="shared" si="4"/>
        <v>#REF!</v>
      </c>
      <c r="AD37" s="296" t="s">
        <v>2526</v>
      </c>
      <c r="AE37" s="252">
        <v>120</v>
      </c>
    </row>
    <row r="38" spans="1:37" hidden="1">
      <c r="A38" s="379">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375">
        <v>83</v>
      </c>
      <c r="Z38" s="252">
        <v>86</v>
      </c>
      <c r="AA38" s="253">
        <v>0</v>
      </c>
      <c r="AB38" s="296">
        <v>0</v>
      </c>
      <c r="AC38" s="296">
        <f t="shared" si="4"/>
        <v>169</v>
      </c>
      <c r="AD38" s="296" t="s">
        <v>975</v>
      </c>
      <c r="AE38" s="375"/>
      <c r="AG38" s="296" t="s">
        <v>2259</v>
      </c>
    </row>
    <row r="39" spans="1:37" hidden="1">
      <c r="A39" s="379">
        <f t="shared" ref="A39:A58" si="5">(A38+1)</f>
        <v>28</v>
      </c>
      <c r="B39" s="296" t="s">
        <v>209</v>
      </c>
      <c r="C39" s="252">
        <v>41</v>
      </c>
      <c r="D39" s="252">
        <v>500</v>
      </c>
      <c r="K39" s="358" t="s">
        <v>1586</v>
      </c>
      <c r="T39" s="253"/>
      <c r="AA39" s="253"/>
      <c r="AG39" s="296" t="s">
        <v>2259</v>
      </c>
    </row>
    <row r="40" spans="1:37" hidden="1">
      <c r="A40" s="379">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379">
        <f t="shared" si="5"/>
        <v>30</v>
      </c>
      <c r="B41" s="296" t="s">
        <v>1769</v>
      </c>
      <c r="C41" s="252">
        <f>AE22</f>
        <v>110</v>
      </c>
      <c r="D41" s="296" t="s">
        <v>769</v>
      </c>
      <c r="K41" s="358" t="s">
        <v>1586</v>
      </c>
      <c r="U41" s="629"/>
      <c r="Y41" s="296" t="s">
        <v>975</v>
      </c>
      <c r="AG41" s="296" t="s">
        <v>2259</v>
      </c>
    </row>
    <row r="42" spans="1:37" hidden="1">
      <c r="A42" s="379">
        <f t="shared" si="5"/>
        <v>31</v>
      </c>
      <c r="B42" s="296" t="s">
        <v>1770</v>
      </c>
      <c r="C42" s="252">
        <v>1.75</v>
      </c>
      <c r="D42" s="296" t="s">
        <v>1771</v>
      </c>
      <c r="G42" s="252" t="s">
        <v>2251</v>
      </c>
      <c r="H42" s="296" t="s">
        <v>1625</v>
      </c>
      <c r="U42" s="252" t="s">
        <v>1508</v>
      </c>
      <c r="AG42" s="296" t="s">
        <v>2259</v>
      </c>
    </row>
    <row r="43" spans="1:37" hidden="1">
      <c r="A43" s="379">
        <f t="shared" si="5"/>
        <v>32</v>
      </c>
      <c r="B43" s="296" t="s">
        <v>1626</v>
      </c>
      <c r="C43" s="252">
        <v>2.2000000000000002</v>
      </c>
      <c r="D43" s="296" t="s">
        <v>769</v>
      </c>
      <c r="H43" s="358" t="s">
        <v>1586</v>
      </c>
      <c r="AG43" s="296" t="s">
        <v>2259</v>
      </c>
    </row>
    <row r="44" spans="1:37" hidden="1">
      <c r="A44" s="379">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379">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379">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379">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379">
        <f t="shared" si="5"/>
        <v>37</v>
      </c>
      <c r="B48" s="296" t="s">
        <v>1256</v>
      </c>
      <c r="C48" s="252">
        <v>5.35</v>
      </c>
      <c r="D48" s="252">
        <v>10.65</v>
      </c>
      <c r="K48" s="358" t="s">
        <v>1586</v>
      </c>
      <c r="O48" s="296" t="s">
        <v>643</v>
      </c>
      <c r="AG48" s="296" t="s">
        <v>2259</v>
      </c>
    </row>
    <row r="49" spans="1:33" hidden="1">
      <c r="A49" s="379">
        <f t="shared" si="5"/>
        <v>38</v>
      </c>
      <c r="B49" s="296" t="s">
        <v>1706</v>
      </c>
      <c r="C49" s="252">
        <v>5.85</v>
      </c>
      <c r="D49" s="252">
        <v>7.45</v>
      </c>
      <c r="H49" s="296" t="s">
        <v>1516</v>
      </c>
      <c r="K49" s="252" t="e">
        <f>SUM(K44:K47)</f>
        <v>#REF!</v>
      </c>
      <c r="O49" s="358" t="s">
        <v>1586</v>
      </c>
      <c r="AG49" s="296" t="s">
        <v>2259</v>
      </c>
    </row>
    <row r="50" spans="1:33" hidden="1">
      <c r="A50" s="379">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379">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379">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379">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379">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379">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379">
        <f t="shared" si="5"/>
        <v>45</v>
      </c>
      <c r="B56" s="296" t="s">
        <v>323</v>
      </c>
      <c r="C56" s="252">
        <v>12.1</v>
      </c>
      <c r="D56" s="296" t="s">
        <v>449</v>
      </c>
      <c r="G56" s="252" t="s">
        <v>449</v>
      </c>
      <c r="H56" s="296" t="s">
        <v>450</v>
      </c>
      <c r="I56" s="296" t="s">
        <v>975</v>
      </c>
      <c r="J56" s="253" t="s">
        <v>449</v>
      </c>
      <c r="K56" s="252">
        <v>0</v>
      </c>
      <c r="R56" s="358" t="s">
        <v>1586</v>
      </c>
    </row>
    <row r="57" spans="1:33" hidden="1">
      <c r="A57" s="379">
        <f t="shared" si="5"/>
        <v>46</v>
      </c>
      <c r="B57" s="296" t="s">
        <v>613</v>
      </c>
      <c r="C57" s="252">
        <v>35</v>
      </c>
      <c r="D57" s="296" t="s">
        <v>449</v>
      </c>
      <c r="K57" s="358" t="s">
        <v>1586</v>
      </c>
      <c r="O57" s="296" t="s">
        <v>614</v>
      </c>
      <c r="R57" s="252" t="e">
        <f>SUM(R50:R55)</f>
        <v>#REF!</v>
      </c>
      <c r="AG57" s="296" t="s">
        <v>2259</v>
      </c>
    </row>
    <row r="58" spans="1:33" hidden="1">
      <c r="A58" s="379">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379">
        <f>(A58+1)</f>
        <v>48</v>
      </c>
      <c r="B60" s="296" t="s">
        <v>616</v>
      </c>
      <c r="C60" s="252">
        <v>6.55</v>
      </c>
      <c r="D60" s="296" t="s">
        <v>2077</v>
      </c>
      <c r="K60" s="358" t="s">
        <v>1586</v>
      </c>
      <c r="O60" s="296" t="s">
        <v>773</v>
      </c>
      <c r="R60" s="252" t="e">
        <f>(R57/10)</f>
        <v>#REF!</v>
      </c>
      <c r="AG60" s="296" t="s">
        <v>2259</v>
      </c>
    </row>
    <row r="61" spans="1:33" hidden="1">
      <c r="A61" s="379">
        <f t="shared" ref="A61:A91" si="6">(A60+1)</f>
        <v>49</v>
      </c>
      <c r="B61" s="296" t="s">
        <v>2078</v>
      </c>
      <c r="C61" s="252">
        <f>AE29</f>
        <v>25</v>
      </c>
      <c r="D61" s="252">
        <f>AE36</f>
        <v>37.299999999999997</v>
      </c>
      <c r="G61" s="252" t="s">
        <v>2251</v>
      </c>
      <c r="H61" s="296" t="s">
        <v>2079</v>
      </c>
      <c r="R61" s="358" t="s">
        <v>2055</v>
      </c>
      <c r="AG61" s="296" t="s">
        <v>2259</v>
      </c>
    </row>
    <row r="62" spans="1:33" hidden="1">
      <c r="A62" s="379">
        <f t="shared" si="6"/>
        <v>50</v>
      </c>
      <c r="B62" s="296" t="s">
        <v>2080</v>
      </c>
      <c r="C62" s="252">
        <v>85.5</v>
      </c>
      <c r="D62" s="296" t="s">
        <v>868</v>
      </c>
      <c r="H62" s="358" t="s">
        <v>1586</v>
      </c>
      <c r="N62" s="296" t="s">
        <v>2251</v>
      </c>
      <c r="O62" s="296" t="s">
        <v>1357</v>
      </c>
      <c r="AG62" s="296" t="s">
        <v>2259</v>
      </c>
    </row>
    <row r="63" spans="1:33" hidden="1">
      <c r="A63" s="379">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379">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379">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379">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379">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379">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379">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379">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379">
        <f t="shared" si="6"/>
        <v>59</v>
      </c>
      <c r="B71" s="296" t="s">
        <v>1497</v>
      </c>
      <c r="C71" s="252" t="e">
        <f t="shared" si="7"/>
        <v>#REF!</v>
      </c>
      <c r="D71" s="296" t="s">
        <v>869</v>
      </c>
      <c r="H71" s="358" t="s">
        <v>1586</v>
      </c>
      <c r="R71" s="358" t="s">
        <v>1586</v>
      </c>
      <c r="AG71" s="296" t="s">
        <v>2259</v>
      </c>
    </row>
    <row r="72" spans="1:33" hidden="1">
      <c r="A72" s="379">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379">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379">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379">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379">
        <f t="shared" si="6"/>
        <v>64</v>
      </c>
      <c r="B76" s="296" t="s">
        <v>956</v>
      </c>
      <c r="C76" s="252">
        <v>514.62</v>
      </c>
      <c r="D76" s="252">
        <v>240</v>
      </c>
      <c r="K76" s="358" t="s">
        <v>1586</v>
      </c>
      <c r="N76" s="296" t="s">
        <v>2251</v>
      </c>
      <c r="O76" s="296" t="s">
        <v>957</v>
      </c>
      <c r="AG76" s="296" t="s">
        <v>2259</v>
      </c>
    </row>
    <row r="77" spans="1:33" hidden="1">
      <c r="A77" s="379">
        <f t="shared" si="6"/>
        <v>65</v>
      </c>
      <c r="B77" s="296" t="s">
        <v>2313</v>
      </c>
      <c r="C77" s="252" t="e">
        <f>AC34</f>
        <v>#REF!</v>
      </c>
      <c r="D77" s="296" t="s">
        <v>869</v>
      </c>
      <c r="H77" s="296" t="s">
        <v>1516</v>
      </c>
      <c r="K77" s="252" t="e">
        <f>SUM(K72:K75)</f>
        <v>#REF!</v>
      </c>
      <c r="O77" s="296" t="s">
        <v>1112</v>
      </c>
      <c r="AG77" s="296" t="s">
        <v>2259</v>
      </c>
    </row>
    <row r="78" spans="1:33" hidden="1">
      <c r="A78" s="379">
        <f t="shared" si="6"/>
        <v>66</v>
      </c>
      <c r="B78" s="296" t="s">
        <v>1423</v>
      </c>
      <c r="C78" s="252" t="e">
        <f t="shared" ref="C78:C91" si="8">AC16</f>
        <v>#REF!</v>
      </c>
      <c r="D78" s="296" t="s">
        <v>869</v>
      </c>
      <c r="K78" s="358" t="s">
        <v>1586</v>
      </c>
      <c r="O78" s="358" t="s">
        <v>1586</v>
      </c>
      <c r="AG78" s="296" t="s">
        <v>2259</v>
      </c>
    </row>
    <row r="79" spans="1:33" hidden="1">
      <c r="A79" s="379">
        <f t="shared" si="6"/>
        <v>67</v>
      </c>
      <c r="B79" s="296" t="s">
        <v>1034</v>
      </c>
      <c r="C79" s="252" t="e">
        <f t="shared" si="8"/>
        <v>#REF!</v>
      </c>
      <c r="D79" s="296" t="s">
        <v>869</v>
      </c>
      <c r="F79" s="366">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379">
        <f t="shared" si="6"/>
        <v>68</v>
      </c>
      <c r="B80" s="296" t="s">
        <v>1480</v>
      </c>
      <c r="C80" s="252" t="e">
        <f t="shared" si="8"/>
        <v>#REF!</v>
      </c>
      <c r="D80" s="296" t="s">
        <v>1481</v>
      </c>
      <c r="F80" s="369" t="s">
        <v>975</v>
      </c>
      <c r="H80" s="296" t="s">
        <v>1482</v>
      </c>
      <c r="M80" s="252">
        <v>2.5</v>
      </c>
      <c r="N80" s="296" t="s">
        <v>869</v>
      </c>
      <c r="O80" s="296" t="s">
        <v>1625</v>
      </c>
      <c r="P80" s="252" t="e">
        <f>(K49)</f>
        <v>#REF!</v>
      </c>
      <c r="Q80" s="296" t="s">
        <v>869</v>
      </c>
      <c r="R80" s="252" t="e">
        <f>(M80*P80)</f>
        <v>#REF!</v>
      </c>
      <c r="AG80" s="296" t="s">
        <v>2259</v>
      </c>
    </row>
    <row r="81" spans="1:33" hidden="1">
      <c r="A81" s="379">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379">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379">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379">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379">
        <f t="shared" si="6"/>
        <v>73</v>
      </c>
      <c r="B85" s="296" t="s">
        <v>2004</v>
      </c>
      <c r="C85" s="252" t="e">
        <f t="shared" si="8"/>
        <v>#REF!</v>
      </c>
      <c r="D85" s="296" t="s">
        <v>869</v>
      </c>
      <c r="K85" s="358" t="s">
        <v>1586</v>
      </c>
      <c r="N85" s="296" t="s">
        <v>449</v>
      </c>
      <c r="O85" s="296" t="s">
        <v>450</v>
      </c>
      <c r="Q85" s="296" t="s">
        <v>449</v>
      </c>
      <c r="R85" s="252">
        <v>0</v>
      </c>
      <c r="AG85" s="296" t="s">
        <v>2259</v>
      </c>
    </row>
    <row r="86" spans="1:33" hidden="1">
      <c r="A86" s="379">
        <f t="shared" si="6"/>
        <v>74</v>
      </c>
      <c r="B86" s="296" t="s">
        <v>2015</v>
      </c>
      <c r="C86" s="252">
        <f t="shared" si="8"/>
        <v>20605</v>
      </c>
      <c r="D86" s="296" t="s">
        <v>869</v>
      </c>
      <c r="H86" s="296" t="s">
        <v>614</v>
      </c>
      <c r="K86" s="252">
        <f>SUM(K81:K84)</f>
        <v>529.29999999999995</v>
      </c>
      <c r="R86" s="358" t="s">
        <v>1586</v>
      </c>
      <c r="AG86" s="296" t="s">
        <v>2259</v>
      </c>
    </row>
    <row r="87" spans="1:33" hidden="1">
      <c r="A87" s="379">
        <f t="shared" si="6"/>
        <v>75</v>
      </c>
      <c r="B87" s="296" t="s">
        <v>2016</v>
      </c>
      <c r="C87" s="252">
        <f t="shared" si="8"/>
        <v>23685</v>
      </c>
      <c r="D87" s="296" t="s">
        <v>869</v>
      </c>
      <c r="K87" s="358" t="s">
        <v>1586</v>
      </c>
      <c r="O87" s="296" t="s">
        <v>614</v>
      </c>
      <c r="R87" s="252" t="e">
        <f>SUM(R79:R85)</f>
        <v>#REF!</v>
      </c>
      <c r="AG87" s="296" t="s">
        <v>2259</v>
      </c>
    </row>
    <row r="88" spans="1:33" hidden="1">
      <c r="A88" s="379">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379">
        <f t="shared" si="6"/>
        <v>77</v>
      </c>
      <c r="B89" s="296" t="s">
        <v>295</v>
      </c>
      <c r="C89" s="252">
        <f t="shared" si="8"/>
        <v>57165</v>
      </c>
      <c r="D89" s="296" t="s">
        <v>869</v>
      </c>
      <c r="I89" s="274" t="s">
        <v>1362</v>
      </c>
      <c r="J89" s="255"/>
      <c r="K89" s="359">
        <f>ROUND(K88+C36,2)</f>
        <v>55.53</v>
      </c>
      <c r="O89" s="296" t="s">
        <v>773</v>
      </c>
      <c r="R89" s="252" t="e">
        <f>(R87/10)</f>
        <v>#REF!</v>
      </c>
      <c r="AG89" s="296" t="s">
        <v>2259</v>
      </c>
    </row>
    <row r="90" spans="1:33" ht="31.5" hidden="1">
      <c r="A90" s="379">
        <f t="shared" si="6"/>
        <v>78</v>
      </c>
      <c r="B90" s="296" t="s">
        <v>2314</v>
      </c>
      <c r="C90" s="252">
        <f t="shared" si="8"/>
        <v>63870</v>
      </c>
      <c r="D90" s="296" t="s">
        <v>869</v>
      </c>
      <c r="F90" s="362" t="s">
        <v>1526</v>
      </c>
      <c r="H90" s="275" t="s">
        <v>1941</v>
      </c>
      <c r="I90" s="274" t="s">
        <v>1399</v>
      </c>
      <c r="J90" s="255"/>
      <c r="K90" s="274">
        <f>K88-K83/10</f>
        <v>50</v>
      </c>
      <c r="R90" s="358" t="s">
        <v>2055</v>
      </c>
      <c r="AG90" s="296" t="s">
        <v>2259</v>
      </c>
    </row>
    <row r="91" spans="1:33" hidden="1">
      <c r="A91" s="379">
        <f t="shared" si="6"/>
        <v>79</v>
      </c>
      <c r="B91" s="296" t="s">
        <v>2315</v>
      </c>
      <c r="C91" s="252" t="e">
        <f t="shared" si="8"/>
        <v>#REF!</v>
      </c>
      <c r="D91" s="296" t="s">
        <v>1481</v>
      </c>
      <c r="I91" s="274" t="s">
        <v>1362</v>
      </c>
      <c r="J91" s="255"/>
      <c r="K91" s="359">
        <f>ROUND(K90+C36,2)</f>
        <v>52.6</v>
      </c>
      <c r="AG91" s="296" t="s">
        <v>2259</v>
      </c>
    </row>
    <row r="92" spans="1:33" hidden="1">
      <c r="F92" s="362" t="s">
        <v>2095</v>
      </c>
      <c r="G92" s="252" t="s">
        <v>975</v>
      </c>
      <c r="H92" s="296" t="s">
        <v>6071</v>
      </c>
    </row>
    <row r="93" spans="1:33" hidden="1">
      <c r="F93" s="369"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59">
        <f>ROUND(K101+C36,2)</f>
        <v>80.13</v>
      </c>
    </row>
    <row r="103" spans="6:11" hidden="1">
      <c r="I103" s="274"/>
      <c r="J103" s="255"/>
      <c r="K103" s="370"/>
    </row>
    <row r="104" spans="6:11" hidden="1">
      <c r="F104" s="366">
        <v>1.7</v>
      </c>
      <c r="H104" s="275" t="s">
        <v>656</v>
      </c>
      <c r="I104" s="274" t="s">
        <v>1399</v>
      </c>
      <c r="J104" s="255"/>
      <c r="K104" s="359">
        <f>ROUND(K101-K96/10,2)</f>
        <v>74.599999999999994</v>
      </c>
    </row>
    <row r="105" spans="6:11" hidden="1">
      <c r="I105" s="274" t="s">
        <v>1362</v>
      </c>
      <c r="J105" s="255"/>
      <c r="K105" s="359">
        <f>ROUND(K104+C36,2)</f>
        <v>77.2</v>
      </c>
    </row>
    <row r="106" spans="6:11" hidden="1">
      <c r="K106" s="358"/>
    </row>
    <row r="107" spans="6:11" hidden="1">
      <c r="K107" s="358"/>
    </row>
    <row r="108" spans="6:11" ht="31.5" hidden="1">
      <c r="F108" s="366">
        <v>1.5</v>
      </c>
      <c r="G108" s="252" t="s">
        <v>975</v>
      </c>
      <c r="H108" s="371" t="s">
        <v>6072</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2"/>
      <c r="H118" s="296" t="s">
        <v>2035</v>
      </c>
      <c r="I118" s="274" t="s">
        <v>1399</v>
      </c>
      <c r="K118" s="274">
        <f>K116-K111/10</f>
        <v>25</v>
      </c>
    </row>
    <row r="119" spans="6:11" hidden="1">
      <c r="I119" s="274" t="s">
        <v>1362</v>
      </c>
      <c r="K119" s="359">
        <f>ROUND(K118+C36,2)</f>
        <v>27.6</v>
      </c>
    </row>
    <row r="120" spans="6:11" hidden="1">
      <c r="K120" s="358"/>
    </row>
    <row r="121" spans="6:11" ht="31.5" hidden="1">
      <c r="F121" s="372">
        <v>1.8</v>
      </c>
      <c r="H121" s="371" t="s">
        <v>6073</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66"/>
      <c r="H128" s="260" t="s">
        <v>6075</v>
      </c>
      <c r="I128" s="274" t="s">
        <v>1399</v>
      </c>
      <c r="K128" s="359">
        <f>ROUND(K126/10,2)</f>
        <v>37.299999999999997</v>
      </c>
    </row>
    <row r="129" spans="1:33" hidden="1">
      <c r="I129" s="274" t="s">
        <v>1362</v>
      </c>
      <c r="K129" s="359">
        <f>ROUND(K128+C36,2)</f>
        <v>39.9</v>
      </c>
    </row>
    <row r="130" spans="1:33" hidden="1">
      <c r="I130" s="274"/>
      <c r="K130" s="358"/>
    </row>
    <row r="131" spans="1:33" hidden="1">
      <c r="F131" s="366">
        <v>1.6</v>
      </c>
      <c r="H131" s="296" t="s">
        <v>796</v>
      </c>
      <c r="I131" s="274"/>
    </row>
    <row r="132" spans="1:33" hidden="1">
      <c r="H132" s="296" t="s">
        <v>382</v>
      </c>
      <c r="I132" s="274" t="s">
        <v>1399</v>
      </c>
      <c r="K132" s="274">
        <f>C61*1.5</f>
        <v>37.5</v>
      </c>
    </row>
    <row r="133" spans="1:33" hidden="1">
      <c r="F133" s="296" t="s">
        <v>975</v>
      </c>
      <c r="H133" s="296" t="s">
        <v>383</v>
      </c>
      <c r="I133" s="274" t="s">
        <v>1362</v>
      </c>
      <c r="K133" s="359">
        <f>ROUND(K132+C36,2)</f>
        <v>40.1</v>
      </c>
    </row>
    <row r="134" spans="1:33" hidden="1">
      <c r="K134" s="358" t="s">
        <v>2055</v>
      </c>
    </row>
    <row r="135" spans="1:33" hidden="1"/>
    <row r="136" spans="1:33" hidden="1">
      <c r="A136" s="379">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379">
        <f t="shared" ref="A137:A142" si="9">(A136+1)</f>
        <v>81</v>
      </c>
      <c r="B137" s="296" t="s">
        <v>387</v>
      </c>
      <c r="C137" s="252">
        <f>AC33</f>
        <v>26500</v>
      </c>
      <c r="D137" s="296" t="s">
        <v>861</v>
      </c>
      <c r="H137" s="296" t="s">
        <v>6076</v>
      </c>
      <c r="N137" s="296" t="s">
        <v>2317</v>
      </c>
      <c r="O137" s="296" t="s">
        <v>388</v>
      </c>
      <c r="R137" s="252" t="e">
        <f>(R136+C20)</f>
        <v>#REF!</v>
      </c>
      <c r="AG137" s="296" t="s">
        <v>2259</v>
      </c>
    </row>
    <row r="138" spans="1:33" hidden="1">
      <c r="A138" s="379">
        <f t="shared" si="9"/>
        <v>82</v>
      </c>
      <c r="B138" s="296" t="s">
        <v>1802</v>
      </c>
      <c r="C138" s="252">
        <f>AC32</f>
        <v>28000</v>
      </c>
      <c r="D138" s="296" t="s">
        <v>861</v>
      </c>
      <c r="H138" s="358" t="s">
        <v>1586</v>
      </c>
      <c r="N138" s="296" t="s">
        <v>2318</v>
      </c>
      <c r="O138" s="296" t="s">
        <v>2232</v>
      </c>
      <c r="R138" s="252" t="e">
        <f>(R137+C21)</f>
        <v>#REF!</v>
      </c>
      <c r="AG138" s="296" t="s">
        <v>2259</v>
      </c>
    </row>
    <row r="139" spans="1:33" hidden="1">
      <c r="A139" s="379">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379">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379">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379">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379">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6078</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388">
        <v>2.2999999999999998</v>
      </c>
      <c r="B164" s="296" t="s">
        <v>246</v>
      </c>
      <c r="C164" s="252" t="e">
        <f>AC19+I167</f>
        <v>#REF!</v>
      </c>
      <c r="F164" s="366">
        <v>2.6</v>
      </c>
      <c r="G164" s="252" t="s">
        <v>2251</v>
      </c>
      <c r="H164" s="296" t="s">
        <v>1171</v>
      </c>
    </row>
    <row r="165" spans="1:11" hidden="1">
      <c r="A165" s="388">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66">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379">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379">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6080</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379">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379">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379">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379">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379">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379">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379">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379">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379">
        <f t="shared" si="11"/>
        <v>98</v>
      </c>
      <c r="B199" s="296" t="s">
        <v>2097</v>
      </c>
      <c r="C199" s="252">
        <v>85</v>
      </c>
      <c r="D199" s="296" t="s">
        <v>769</v>
      </c>
      <c r="G199" s="252" t="s">
        <v>449</v>
      </c>
      <c r="H199" s="296" t="s">
        <v>450</v>
      </c>
      <c r="J199" s="253" t="s">
        <v>449</v>
      </c>
      <c r="K199" s="252">
        <v>0</v>
      </c>
      <c r="R199" s="358" t="s">
        <v>2055</v>
      </c>
      <c r="AG199" s="296" t="s">
        <v>2259</v>
      </c>
    </row>
    <row r="200" spans="1:33" hidden="1">
      <c r="A200" s="379">
        <f t="shared" si="11"/>
        <v>99</v>
      </c>
      <c r="B200" s="296" t="s">
        <v>1148</v>
      </c>
      <c r="C200" s="252">
        <v>750</v>
      </c>
      <c r="D200" s="296" t="s">
        <v>769</v>
      </c>
      <c r="K200" s="358" t="s">
        <v>1586</v>
      </c>
      <c r="AG200" s="296" t="s">
        <v>2259</v>
      </c>
    </row>
    <row r="201" spans="1:33" hidden="1">
      <c r="A201" s="379">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379">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379">
        <f t="shared" si="11"/>
        <v>102</v>
      </c>
      <c r="B203" s="296" t="s">
        <v>684</v>
      </c>
      <c r="C203" s="252">
        <v>40</v>
      </c>
      <c r="D203" s="296" t="s">
        <v>769</v>
      </c>
      <c r="K203" s="252" t="e">
        <f>(K201/10)</f>
        <v>#REF!</v>
      </c>
      <c r="N203" s="296" t="s">
        <v>2339</v>
      </c>
      <c r="O203" s="296" t="s">
        <v>2232</v>
      </c>
      <c r="R203" s="252" t="e">
        <f>(R202+C21)</f>
        <v>#REF!</v>
      </c>
    </row>
    <row r="204" spans="1:33" hidden="1">
      <c r="A204" s="379">
        <f t="shared" si="11"/>
        <v>103</v>
      </c>
      <c r="B204" s="296" t="s">
        <v>621</v>
      </c>
      <c r="C204" s="252">
        <v>65</v>
      </c>
      <c r="D204" s="296" t="s">
        <v>769</v>
      </c>
      <c r="H204" s="296" t="s">
        <v>773</v>
      </c>
      <c r="K204" s="358" t="s">
        <v>2055</v>
      </c>
      <c r="N204" s="296" t="s">
        <v>2340</v>
      </c>
      <c r="O204" s="296" t="s">
        <v>380</v>
      </c>
      <c r="R204" s="252" t="e">
        <f>(R203+C21)</f>
        <v>#REF!</v>
      </c>
    </row>
    <row r="205" spans="1:33" hidden="1">
      <c r="A205" s="379">
        <f t="shared" si="11"/>
        <v>104</v>
      </c>
      <c r="B205" s="296" t="s">
        <v>2341</v>
      </c>
      <c r="C205" s="252">
        <v>65</v>
      </c>
      <c r="D205" s="296" t="s">
        <v>769</v>
      </c>
      <c r="AG205" s="296" t="s">
        <v>2259</v>
      </c>
    </row>
    <row r="206" spans="1:33" hidden="1">
      <c r="A206" s="379">
        <f t="shared" si="11"/>
        <v>105</v>
      </c>
      <c r="B206" s="296" t="s">
        <v>685</v>
      </c>
      <c r="C206" s="252">
        <v>150</v>
      </c>
      <c r="D206" s="296" t="s">
        <v>686</v>
      </c>
      <c r="F206" s="253" t="s">
        <v>687</v>
      </c>
      <c r="G206" s="252" t="s">
        <v>2251</v>
      </c>
      <c r="H206" s="296" t="s">
        <v>6081</v>
      </c>
    </row>
    <row r="207" spans="1:33" hidden="1">
      <c r="A207" s="379">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373">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373">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373">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373">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6082</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66">
        <v>3.6</v>
      </c>
      <c r="H237" s="296" t="s">
        <v>6084</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66">
        <v>3.7</v>
      </c>
      <c r="H251" s="296" t="s">
        <v>6085</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379">
        <f>(A205+1)</f>
        <v>105</v>
      </c>
      <c r="B264" s="296" t="s">
        <v>1811</v>
      </c>
      <c r="C264" s="252">
        <v>50.5</v>
      </c>
      <c r="D264" s="296" t="s">
        <v>769</v>
      </c>
      <c r="F264" s="253" t="s">
        <v>674</v>
      </c>
      <c r="H264" s="296" t="s">
        <v>1606</v>
      </c>
      <c r="N264" s="296" t="s">
        <v>675</v>
      </c>
      <c r="O264" s="296" t="s">
        <v>834</v>
      </c>
      <c r="AG264" s="296" t="s">
        <v>2259</v>
      </c>
    </row>
    <row r="265" spans="1:33" hidden="1">
      <c r="A265" s="379">
        <f t="shared" ref="A265:A279" si="13">(A264+1)</f>
        <v>106</v>
      </c>
      <c r="B265" s="296" t="s">
        <v>835</v>
      </c>
      <c r="C265" s="252">
        <v>115</v>
      </c>
      <c r="D265" s="296" t="s">
        <v>769</v>
      </c>
      <c r="H265" s="358" t="s">
        <v>2055</v>
      </c>
      <c r="O265" s="358" t="s">
        <v>1586</v>
      </c>
      <c r="AG265" s="296" t="s">
        <v>2259</v>
      </c>
    </row>
    <row r="266" spans="1:33" hidden="1">
      <c r="A266" s="379">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379">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379">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379">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379">
        <f t="shared" si="13"/>
        <v>111</v>
      </c>
      <c r="B270" s="296" t="s">
        <v>440</v>
      </c>
      <c r="C270" s="252">
        <v>35</v>
      </c>
      <c r="D270" s="296" t="s">
        <v>1645</v>
      </c>
      <c r="E270" s="363">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379">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379">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379">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379">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379">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379">
        <f t="shared" si="13"/>
        <v>117</v>
      </c>
      <c r="B276" s="296" t="s">
        <v>661</v>
      </c>
      <c r="C276" s="252">
        <v>8</v>
      </c>
      <c r="D276" s="252">
        <v>6.25</v>
      </c>
      <c r="K276" s="358" t="s">
        <v>1586</v>
      </c>
      <c r="N276" s="296" t="s">
        <v>672</v>
      </c>
      <c r="O276" s="296" t="s">
        <v>2232</v>
      </c>
      <c r="R276" s="252" t="e">
        <f>(R275+C21/10*M266)</f>
        <v>#REF!</v>
      </c>
      <c r="AG276" s="296" t="s">
        <v>2259</v>
      </c>
    </row>
    <row r="277" spans="1:33" hidden="1">
      <c r="A277" s="379">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379">
        <f t="shared" si="13"/>
        <v>119</v>
      </c>
      <c r="B278" s="296" t="s">
        <v>2967</v>
      </c>
      <c r="C278" s="252">
        <v>45</v>
      </c>
      <c r="D278" s="296" t="s">
        <v>769</v>
      </c>
      <c r="K278" s="358" t="s">
        <v>1586</v>
      </c>
      <c r="AG278" s="296" t="s">
        <v>2259</v>
      </c>
    </row>
    <row r="279" spans="1:33" hidden="1">
      <c r="A279" s="379">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379">
        <f>(A279+1)</f>
        <v>121</v>
      </c>
      <c r="B281" s="296" t="s">
        <v>2969</v>
      </c>
      <c r="C281" s="252">
        <v>25</v>
      </c>
      <c r="D281" s="296" t="s">
        <v>769</v>
      </c>
      <c r="O281" s="296" t="s">
        <v>1583</v>
      </c>
      <c r="AG281" s="296" t="s">
        <v>2259</v>
      </c>
    </row>
    <row r="282" spans="1:33" hidden="1">
      <c r="A282" s="379">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379">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379">
        <f t="shared" si="15"/>
        <v>124</v>
      </c>
      <c r="B284" s="296" t="s">
        <v>3135</v>
      </c>
      <c r="C284" s="252">
        <v>20</v>
      </c>
      <c r="D284" s="296" t="s">
        <v>769</v>
      </c>
      <c r="E284" s="363">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379">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379">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379">
        <f t="shared" si="15"/>
        <v>127</v>
      </c>
      <c r="B287" s="296" t="s">
        <v>1805</v>
      </c>
      <c r="C287" s="252">
        <v>8</v>
      </c>
      <c r="D287" s="296" t="s">
        <v>769</v>
      </c>
      <c r="H287" s="296" t="s">
        <v>388</v>
      </c>
      <c r="K287" s="252" t="e">
        <f>(K286+C23)</f>
        <v>#REF!</v>
      </c>
      <c r="R287" s="358" t="s">
        <v>1586</v>
      </c>
      <c r="AG287" s="296" t="s">
        <v>2259</v>
      </c>
    </row>
    <row r="288" spans="1:33" hidden="1">
      <c r="A288" s="379">
        <f t="shared" si="15"/>
        <v>128</v>
      </c>
      <c r="B288" s="296" t="s">
        <v>1150</v>
      </c>
      <c r="C288" s="252">
        <v>8</v>
      </c>
      <c r="D288" s="296" t="s">
        <v>769</v>
      </c>
      <c r="H288" s="296" t="s">
        <v>2232</v>
      </c>
      <c r="K288" s="252" t="e">
        <f>(K287+C24)</f>
        <v>#REF!</v>
      </c>
      <c r="O288" s="296" t="s">
        <v>441</v>
      </c>
      <c r="R288" s="252" t="e">
        <f>SUM(R283:R286)</f>
        <v>#REF!</v>
      </c>
      <c r="AG288" s="296" t="s">
        <v>2259</v>
      </c>
    </row>
    <row r="289" spans="1:33" hidden="1">
      <c r="A289" s="379">
        <f t="shared" si="15"/>
        <v>129</v>
      </c>
      <c r="B289" s="296" t="s">
        <v>1151</v>
      </c>
      <c r="C289" s="252">
        <v>2.9</v>
      </c>
      <c r="D289" s="296" t="s">
        <v>1152</v>
      </c>
      <c r="H289" s="296" t="s">
        <v>380</v>
      </c>
      <c r="K289" s="252" t="e">
        <f>(K288+C24)</f>
        <v>#REF!</v>
      </c>
      <c r="R289" s="358" t="s">
        <v>1586</v>
      </c>
      <c r="AG289" s="296" t="s">
        <v>2259</v>
      </c>
    </row>
    <row r="290" spans="1:33" hidden="1">
      <c r="A290" s="379">
        <f t="shared" si="15"/>
        <v>130</v>
      </c>
      <c r="B290" s="296" t="s">
        <v>1153</v>
      </c>
      <c r="C290" s="252">
        <v>20.6</v>
      </c>
      <c r="D290" s="296" t="s">
        <v>1152</v>
      </c>
      <c r="H290" s="296" t="s">
        <v>488</v>
      </c>
      <c r="K290" s="252" t="e">
        <f>(K289+C24)</f>
        <v>#REF!</v>
      </c>
      <c r="O290" s="296" t="s">
        <v>552</v>
      </c>
      <c r="R290" s="252" t="e">
        <f>(R288/10)</f>
        <v>#REF!</v>
      </c>
      <c r="AG290" s="296" t="s">
        <v>2259</v>
      </c>
    </row>
    <row r="291" spans="1:33" hidden="1">
      <c r="A291" s="379">
        <f t="shared" si="15"/>
        <v>131</v>
      </c>
      <c r="B291" s="296" t="s">
        <v>489</v>
      </c>
      <c r="C291" s="252">
        <v>15.6</v>
      </c>
      <c r="D291" s="296" t="s">
        <v>769</v>
      </c>
      <c r="R291" s="358" t="s">
        <v>2055</v>
      </c>
      <c r="AG291" s="296" t="s">
        <v>2259</v>
      </c>
    </row>
    <row r="292" spans="1:33" hidden="1">
      <c r="A292" s="379">
        <f t="shared" si="15"/>
        <v>132</v>
      </c>
      <c r="B292" s="296" t="s">
        <v>490</v>
      </c>
      <c r="C292" s="252">
        <v>12.6</v>
      </c>
      <c r="D292" s="296" t="s">
        <v>769</v>
      </c>
      <c r="F292" s="253" t="s">
        <v>1512</v>
      </c>
      <c r="G292" s="252" t="s">
        <v>2251</v>
      </c>
      <c r="H292" s="296" t="s">
        <v>491</v>
      </c>
      <c r="AG292" s="296" t="s">
        <v>2259</v>
      </c>
    </row>
    <row r="293" spans="1:33" hidden="1">
      <c r="A293" s="379">
        <f t="shared" si="15"/>
        <v>133</v>
      </c>
      <c r="B293" s="296" t="s">
        <v>492</v>
      </c>
      <c r="C293" s="252">
        <v>5.75</v>
      </c>
      <c r="D293" s="296" t="s">
        <v>769</v>
      </c>
      <c r="H293" s="358" t="s">
        <v>2055</v>
      </c>
      <c r="N293" s="296" t="s">
        <v>2251</v>
      </c>
      <c r="O293" s="296" t="s">
        <v>1125</v>
      </c>
      <c r="AG293" s="296" t="s">
        <v>2259</v>
      </c>
    </row>
    <row r="294" spans="1:33" hidden="1">
      <c r="A294" s="379">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379">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379">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379">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379">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379">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379">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379">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379">
        <f t="shared" si="15"/>
        <v>142</v>
      </c>
      <c r="B302" s="296" t="s">
        <v>1805</v>
      </c>
      <c r="C302" s="252">
        <v>4</v>
      </c>
      <c r="D302" s="296" t="s">
        <v>769</v>
      </c>
      <c r="K302" s="358" t="s">
        <v>1586</v>
      </c>
      <c r="R302" s="358" t="s">
        <v>1586</v>
      </c>
      <c r="AG302" s="296" t="s">
        <v>2259</v>
      </c>
    </row>
    <row r="303" spans="1:33" hidden="1">
      <c r="A303" s="379">
        <f t="shared" si="15"/>
        <v>143</v>
      </c>
      <c r="B303" s="296" t="s">
        <v>1150</v>
      </c>
      <c r="C303" s="252">
        <v>8</v>
      </c>
      <c r="D303" s="296" t="s">
        <v>868</v>
      </c>
      <c r="H303" s="296" t="s">
        <v>614</v>
      </c>
      <c r="K303" s="252" t="e">
        <f>SUM(K294:K301)</f>
        <v>#REF!</v>
      </c>
      <c r="O303" s="296" t="s">
        <v>552</v>
      </c>
      <c r="R303" s="252" t="e">
        <f>(R301/10)</f>
        <v>#REF!</v>
      </c>
      <c r="AG303" s="296" t="s">
        <v>2259</v>
      </c>
    </row>
    <row r="304" spans="1:33" hidden="1">
      <c r="A304" s="379">
        <f t="shared" si="15"/>
        <v>144</v>
      </c>
      <c r="B304" s="296" t="s">
        <v>1151</v>
      </c>
      <c r="C304" s="252">
        <v>8.5</v>
      </c>
      <c r="D304" s="296" t="s">
        <v>769</v>
      </c>
      <c r="K304" s="358" t="s">
        <v>1586</v>
      </c>
      <c r="N304" s="296" t="s">
        <v>2251</v>
      </c>
      <c r="O304" s="296" t="s">
        <v>496</v>
      </c>
      <c r="R304" s="358" t="s">
        <v>2055</v>
      </c>
      <c r="AG304" s="296" t="s">
        <v>2259</v>
      </c>
    </row>
    <row r="305" spans="1:33" hidden="1">
      <c r="A305" s="379">
        <f t="shared" si="15"/>
        <v>145</v>
      </c>
      <c r="B305" s="296" t="s">
        <v>604</v>
      </c>
      <c r="C305" s="252">
        <v>20.6</v>
      </c>
      <c r="D305" s="296" t="s">
        <v>769</v>
      </c>
      <c r="H305" s="296" t="s">
        <v>773</v>
      </c>
      <c r="K305" s="252" t="e">
        <f>(K303/10)</f>
        <v>#REF!</v>
      </c>
      <c r="O305" s="358" t="s">
        <v>1586</v>
      </c>
      <c r="AG305" s="296" t="s">
        <v>2259</v>
      </c>
    </row>
    <row r="306" spans="1:33" hidden="1">
      <c r="A306" s="379">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379">
        <f t="shared" si="15"/>
        <v>147</v>
      </c>
      <c r="B307" s="296" t="s">
        <v>1985</v>
      </c>
      <c r="C307" s="252">
        <v>0.9</v>
      </c>
      <c r="D307" s="296" t="s">
        <v>769</v>
      </c>
      <c r="F307" s="362">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379">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379">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379">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379">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379">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379">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379">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379">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379">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379">
        <f t="shared" si="15"/>
        <v>157</v>
      </c>
      <c r="B317" s="296" t="s">
        <v>2222</v>
      </c>
      <c r="C317" s="252">
        <v>99.75</v>
      </c>
      <c r="D317" s="296" t="s">
        <v>769</v>
      </c>
      <c r="K317" s="358" t="s">
        <v>1586</v>
      </c>
      <c r="O317" s="358" t="s">
        <v>1586</v>
      </c>
      <c r="AG317" s="296" t="s">
        <v>2259</v>
      </c>
    </row>
    <row r="318" spans="1:33" hidden="1">
      <c r="A318" s="379">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379">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379">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379">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379">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379">
        <f t="shared" si="15"/>
        <v>163</v>
      </c>
      <c r="B323" s="296" t="s">
        <v>2187</v>
      </c>
      <c r="H323" s="296" t="s">
        <v>388</v>
      </c>
      <c r="K323" s="252" t="e">
        <f>(K322+C20)</f>
        <v>#REF!</v>
      </c>
      <c r="R323" s="358" t="s">
        <v>1586</v>
      </c>
      <c r="AG323" s="296" t="s">
        <v>2259</v>
      </c>
    </row>
    <row r="324" spans="1:33" hidden="1">
      <c r="A324" s="379">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379">
        <f t="shared" si="15"/>
        <v>165</v>
      </c>
      <c r="B325" s="296" t="s">
        <v>241</v>
      </c>
      <c r="C325" s="252">
        <v>19.41</v>
      </c>
      <c r="D325" s="296" t="s">
        <v>1771</v>
      </c>
      <c r="H325" s="296" t="s">
        <v>380</v>
      </c>
      <c r="K325" s="252" t="e">
        <f>(K324+C21)</f>
        <v>#REF!</v>
      </c>
      <c r="R325" s="358" t="s">
        <v>1586</v>
      </c>
      <c r="AG325" s="296" t="s">
        <v>2259</v>
      </c>
    </row>
    <row r="326" spans="1:33" hidden="1">
      <c r="A326" s="379">
        <f t="shared" si="15"/>
        <v>166</v>
      </c>
      <c r="B326" s="296" t="s">
        <v>242</v>
      </c>
      <c r="C326" s="252">
        <v>22.22</v>
      </c>
      <c r="D326" s="296" t="s">
        <v>1771</v>
      </c>
      <c r="H326" s="296" t="s">
        <v>488</v>
      </c>
      <c r="K326" s="252" t="e">
        <f>(K325+C21)</f>
        <v>#REF!</v>
      </c>
      <c r="O326" s="296" t="s">
        <v>552</v>
      </c>
      <c r="R326" s="252" t="e">
        <f>(R324/10)</f>
        <v>#REF!</v>
      </c>
      <c r="AG326" s="296" t="s">
        <v>2259</v>
      </c>
    </row>
    <row r="327" spans="1:33" hidden="1">
      <c r="A327" s="379"/>
      <c r="B327" s="296"/>
      <c r="D327" s="296"/>
      <c r="H327" s="296"/>
      <c r="O327" s="296"/>
      <c r="AG327" s="296"/>
    </row>
    <row r="328" spans="1:33" hidden="1">
      <c r="A328" s="379"/>
      <c r="B328" s="296"/>
      <c r="D328" s="296"/>
      <c r="F328" s="253" t="s">
        <v>639</v>
      </c>
      <c r="H328" s="296" t="s">
        <v>6086</v>
      </c>
      <c r="K328" s="296" t="s">
        <v>2906</v>
      </c>
      <c r="O328" s="296"/>
      <c r="AG328" s="296"/>
    </row>
    <row r="329" spans="1:33" hidden="1">
      <c r="A329" s="379"/>
      <c r="B329" s="296"/>
      <c r="D329" s="296"/>
      <c r="H329" s="296" t="s">
        <v>640</v>
      </c>
      <c r="K329" s="358" t="s">
        <v>2055</v>
      </c>
      <c r="O329" s="296"/>
      <c r="AG329" s="296"/>
    </row>
    <row r="330" spans="1:33" hidden="1">
      <c r="A330" s="379"/>
      <c r="B330" s="296"/>
      <c r="D330" s="296"/>
      <c r="H330" s="296"/>
      <c r="O330" s="296"/>
      <c r="AG330" s="296"/>
    </row>
    <row r="331" spans="1:33" hidden="1">
      <c r="A331" s="379">
        <f>(A326+1)</f>
        <v>167</v>
      </c>
      <c r="B331" s="296" t="s">
        <v>2222</v>
      </c>
      <c r="C331" s="252">
        <v>46.42</v>
      </c>
      <c r="D331" s="296" t="s">
        <v>1771</v>
      </c>
      <c r="F331" s="362">
        <v>9</v>
      </c>
      <c r="G331" s="252" t="s">
        <v>2251</v>
      </c>
      <c r="H331" s="296" t="s">
        <v>3095</v>
      </c>
      <c r="R331" s="358" t="s">
        <v>2055</v>
      </c>
      <c r="AG331" s="296" t="s">
        <v>2259</v>
      </c>
    </row>
    <row r="332" spans="1:33" hidden="1">
      <c r="A332" s="379">
        <f t="shared" ref="A332:A363" si="17">(A331+1)</f>
        <v>168</v>
      </c>
      <c r="B332" s="296" t="s">
        <v>2188</v>
      </c>
      <c r="H332" s="252" t="str">
        <f>H308</f>
        <v>Bricks of size 22x11x7 cm</v>
      </c>
      <c r="AG332" s="296" t="s">
        <v>2259</v>
      </c>
    </row>
    <row r="333" spans="1:33" hidden="1">
      <c r="A333" s="379">
        <f t="shared" si="17"/>
        <v>169</v>
      </c>
      <c r="B333" s="296" t="s">
        <v>240</v>
      </c>
      <c r="C333" s="252">
        <v>8.58</v>
      </c>
      <c r="D333" s="296" t="s">
        <v>769</v>
      </c>
      <c r="H333" s="358" t="s">
        <v>1586</v>
      </c>
      <c r="N333" s="296" t="s">
        <v>2251</v>
      </c>
      <c r="O333" s="296" t="s">
        <v>2189</v>
      </c>
      <c r="AG333" s="296" t="s">
        <v>2259</v>
      </c>
    </row>
    <row r="334" spans="1:33" hidden="1">
      <c r="A334" s="379">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379">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379">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379">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379">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379">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379">
        <f t="shared" si="17"/>
        <v>176</v>
      </c>
      <c r="B340" s="296" t="s">
        <v>242</v>
      </c>
      <c r="C340" s="252">
        <v>25.24</v>
      </c>
      <c r="D340" s="296" t="s">
        <v>769</v>
      </c>
      <c r="G340" s="252" t="s">
        <v>449</v>
      </c>
      <c r="H340" s="296" t="s">
        <v>450</v>
      </c>
      <c r="J340" s="253" t="s">
        <v>449</v>
      </c>
      <c r="K340" s="252">
        <v>0</v>
      </c>
      <c r="R340" s="358" t="s">
        <v>1586</v>
      </c>
      <c r="AG340" s="296" t="s">
        <v>2259</v>
      </c>
    </row>
    <row r="341" spans="1:33" hidden="1">
      <c r="A341" s="379">
        <f t="shared" si="17"/>
        <v>177</v>
      </c>
      <c r="B341" s="296" t="s">
        <v>2222</v>
      </c>
      <c r="C341" s="252">
        <v>52.34</v>
      </c>
      <c r="D341" s="296" t="s">
        <v>769</v>
      </c>
      <c r="K341" s="358" t="s">
        <v>1586</v>
      </c>
      <c r="O341" s="296" t="s">
        <v>441</v>
      </c>
      <c r="R341" s="252" t="e">
        <f>SUM(R335:R339)</f>
        <v>#REF!</v>
      </c>
      <c r="AG341" s="296" t="s">
        <v>2259</v>
      </c>
    </row>
    <row r="342" spans="1:33" hidden="1">
      <c r="A342" s="379">
        <f t="shared" si="17"/>
        <v>178</v>
      </c>
      <c r="B342" s="296" t="s">
        <v>1039</v>
      </c>
      <c r="H342" s="296" t="s">
        <v>614</v>
      </c>
      <c r="K342" s="252" t="e">
        <f>SUM(K334:K340)</f>
        <v>#REF!</v>
      </c>
      <c r="R342" s="358" t="s">
        <v>1586</v>
      </c>
      <c r="AG342" s="296" t="s">
        <v>2259</v>
      </c>
    </row>
    <row r="343" spans="1:33" hidden="1">
      <c r="A343" s="379">
        <f t="shared" si="17"/>
        <v>179</v>
      </c>
      <c r="B343" s="296" t="s">
        <v>240</v>
      </c>
      <c r="C343" s="252">
        <v>13.73</v>
      </c>
      <c r="D343" s="296" t="s">
        <v>769</v>
      </c>
      <c r="K343" s="358" t="s">
        <v>1586</v>
      </c>
      <c r="O343" s="296" t="s">
        <v>552</v>
      </c>
      <c r="R343" s="252" t="e">
        <f>(R341/10)</f>
        <v>#REF!</v>
      </c>
      <c r="AG343" s="296" t="s">
        <v>2259</v>
      </c>
    </row>
    <row r="344" spans="1:33" hidden="1">
      <c r="A344" s="379">
        <f t="shared" si="17"/>
        <v>180</v>
      </c>
      <c r="B344" s="296" t="s">
        <v>241</v>
      </c>
      <c r="C344" s="252">
        <v>20.16</v>
      </c>
      <c r="D344" s="296" t="s">
        <v>769</v>
      </c>
      <c r="H344" s="296" t="s">
        <v>773</v>
      </c>
      <c r="K344" s="252" t="e">
        <f>(K342/10)</f>
        <v>#REF!</v>
      </c>
      <c r="R344" s="358" t="s">
        <v>2055</v>
      </c>
      <c r="AG344" s="296" t="s">
        <v>2259</v>
      </c>
    </row>
    <row r="345" spans="1:33" hidden="1">
      <c r="A345" s="379">
        <f t="shared" si="17"/>
        <v>181</v>
      </c>
      <c r="B345" s="296" t="s">
        <v>242</v>
      </c>
      <c r="C345" s="252">
        <v>22.73</v>
      </c>
      <c r="D345" s="296" t="s">
        <v>769</v>
      </c>
      <c r="K345" s="358" t="s">
        <v>2055</v>
      </c>
      <c r="N345" s="296" t="s">
        <v>2251</v>
      </c>
      <c r="O345" s="296" t="s">
        <v>1040</v>
      </c>
      <c r="AG345" s="296" t="s">
        <v>2259</v>
      </c>
    </row>
    <row r="346" spans="1:33" hidden="1">
      <c r="A346" s="379">
        <f t="shared" si="17"/>
        <v>182</v>
      </c>
      <c r="B346" s="296" t="s">
        <v>2222</v>
      </c>
      <c r="C346" s="252">
        <v>46.98</v>
      </c>
      <c r="D346" s="296" t="s">
        <v>975</v>
      </c>
      <c r="H346" s="296" t="s">
        <v>386</v>
      </c>
      <c r="K346" s="252" t="e">
        <f>(K344+C19)</f>
        <v>#REF!</v>
      </c>
      <c r="O346" s="358" t="s">
        <v>1586</v>
      </c>
      <c r="AG346" s="296" t="s">
        <v>2259</v>
      </c>
    </row>
    <row r="347" spans="1:33" hidden="1">
      <c r="A347" s="379">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379">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379">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379">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379">
        <f t="shared" si="17"/>
        <v>187</v>
      </c>
      <c r="B351" s="296" t="s">
        <v>127</v>
      </c>
      <c r="F351" s="362">
        <v>27</v>
      </c>
      <c r="G351" s="252" t="s">
        <v>2251</v>
      </c>
      <c r="H351" s="296" t="s">
        <v>3096</v>
      </c>
      <c r="N351" s="296" t="s">
        <v>449</v>
      </c>
      <c r="O351" s="296" t="s">
        <v>450</v>
      </c>
      <c r="P351" s="296" t="s">
        <v>975</v>
      </c>
      <c r="Q351" s="296" t="s">
        <v>449</v>
      </c>
      <c r="R351" s="252">
        <v>0</v>
      </c>
      <c r="AG351" s="296" t="s">
        <v>2259</v>
      </c>
    </row>
    <row r="352" spans="1:33" hidden="1">
      <c r="A352" s="379">
        <f t="shared" si="17"/>
        <v>188</v>
      </c>
      <c r="B352" s="296" t="s">
        <v>240</v>
      </c>
      <c r="C352" s="252">
        <v>13.73</v>
      </c>
      <c r="D352" s="296" t="s">
        <v>769</v>
      </c>
      <c r="H352" s="252" t="str">
        <f>H308</f>
        <v>Bricks of size 22x11x7 cm</v>
      </c>
      <c r="R352" s="358" t="s">
        <v>1586</v>
      </c>
      <c r="AG352" s="296" t="s">
        <v>2259</v>
      </c>
    </row>
    <row r="353" spans="1:33" hidden="1">
      <c r="A353" s="379">
        <f t="shared" si="17"/>
        <v>189</v>
      </c>
      <c r="B353" s="296" t="s">
        <v>241</v>
      </c>
      <c r="C353" s="252">
        <v>20.16</v>
      </c>
      <c r="D353" s="296" t="s">
        <v>769</v>
      </c>
      <c r="H353" s="358" t="s">
        <v>1586</v>
      </c>
      <c r="O353" s="296" t="s">
        <v>441</v>
      </c>
      <c r="R353" s="252" t="e">
        <f>SUM(R347:R351)</f>
        <v>#REF!</v>
      </c>
      <c r="AG353" s="296" t="s">
        <v>2259</v>
      </c>
    </row>
    <row r="354" spans="1:33" hidden="1">
      <c r="A354" s="379">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379">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379">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379">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379">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379">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379">
        <f t="shared" si="17"/>
        <v>196</v>
      </c>
      <c r="B360" s="296" t="s">
        <v>2222</v>
      </c>
      <c r="C360" s="252">
        <v>53.62</v>
      </c>
      <c r="D360" s="296" t="s">
        <v>975</v>
      </c>
      <c r="G360" s="252" t="s">
        <v>449</v>
      </c>
      <c r="H360" s="296" t="s">
        <v>450</v>
      </c>
      <c r="J360" s="253" t="s">
        <v>449</v>
      </c>
      <c r="K360" s="252">
        <v>0</v>
      </c>
      <c r="O360" s="358" t="s">
        <v>1586</v>
      </c>
      <c r="AG360" s="296" t="s">
        <v>2259</v>
      </c>
    </row>
    <row r="361" spans="1:33" hidden="1">
      <c r="A361" s="379">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379">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379">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379">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379">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379">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379">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379">
        <f t="shared" si="19"/>
        <v>204</v>
      </c>
      <c r="B368" s="296" t="s">
        <v>242</v>
      </c>
      <c r="C368" s="252">
        <v>33.89</v>
      </c>
      <c r="D368" s="296" t="s">
        <v>769</v>
      </c>
      <c r="H368" s="296" t="s">
        <v>2232</v>
      </c>
      <c r="K368" s="252" t="e">
        <f>(K367+C21)</f>
        <v>#REF!</v>
      </c>
      <c r="R368" s="358" t="s">
        <v>1586</v>
      </c>
      <c r="AG368" s="296" t="s">
        <v>2259</v>
      </c>
    </row>
    <row r="369" spans="1:33" hidden="1">
      <c r="A369" s="379">
        <f t="shared" si="19"/>
        <v>205</v>
      </c>
      <c r="B369" s="296" t="s">
        <v>973</v>
      </c>
      <c r="H369" s="296" t="s">
        <v>380</v>
      </c>
      <c r="K369" s="252" t="e">
        <f>(K368+C21)</f>
        <v>#REF!</v>
      </c>
      <c r="O369" s="296" t="s">
        <v>441</v>
      </c>
      <c r="R369" s="252" t="e">
        <f>SUM(R361:R367)</f>
        <v>#REF!</v>
      </c>
      <c r="AG369" s="296" t="s">
        <v>2259</v>
      </c>
    </row>
    <row r="370" spans="1:33" hidden="1">
      <c r="A370" s="379">
        <f t="shared" si="19"/>
        <v>206</v>
      </c>
      <c r="B370" s="296" t="s">
        <v>240</v>
      </c>
      <c r="C370" s="252">
        <v>13.29</v>
      </c>
      <c r="D370" s="296" t="s">
        <v>769</v>
      </c>
      <c r="H370" s="296" t="s">
        <v>488</v>
      </c>
      <c r="K370" s="252" t="e">
        <f>(K369+C21)</f>
        <v>#REF!</v>
      </c>
      <c r="R370" s="358" t="s">
        <v>1586</v>
      </c>
      <c r="AG370" s="296" t="s">
        <v>2259</v>
      </c>
    </row>
    <row r="371" spans="1:33" hidden="1">
      <c r="A371" s="379">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379">
        <f t="shared" si="19"/>
        <v>208</v>
      </c>
      <c r="B372" s="296" t="s">
        <v>242</v>
      </c>
      <c r="C372" s="252">
        <v>23.17</v>
      </c>
      <c r="D372" s="296" t="s">
        <v>769</v>
      </c>
      <c r="R372" s="358" t="s">
        <v>2055</v>
      </c>
      <c r="AG372" s="296" t="s">
        <v>2259</v>
      </c>
    </row>
    <row r="373" spans="1:33" hidden="1">
      <c r="A373" s="379">
        <f t="shared" si="19"/>
        <v>209</v>
      </c>
      <c r="B373" s="296" t="s">
        <v>1832</v>
      </c>
      <c r="D373" s="296" t="s">
        <v>975</v>
      </c>
      <c r="H373" s="253" t="s">
        <v>1833</v>
      </c>
      <c r="N373" s="296" t="s">
        <v>2251</v>
      </c>
      <c r="O373" s="296" t="s">
        <v>1834</v>
      </c>
      <c r="AG373" s="296" t="s">
        <v>2259</v>
      </c>
    </row>
    <row r="374" spans="1:33" hidden="1">
      <c r="A374" s="379">
        <f t="shared" si="19"/>
        <v>210</v>
      </c>
      <c r="B374" s="296" t="s">
        <v>240</v>
      </c>
      <c r="C374" s="252">
        <v>9</v>
      </c>
      <c r="D374" s="296" t="s">
        <v>769</v>
      </c>
      <c r="H374" s="358" t="s">
        <v>1586</v>
      </c>
      <c r="O374" s="358" t="s">
        <v>1586</v>
      </c>
      <c r="AG374" s="296" t="s">
        <v>2259</v>
      </c>
    </row>
    <row r="375" spans="1:33" hidden="1">
      <c r="A375" s="379">
        <f t="shared" si="19"/>
        <v>211</v>
      </c>
      <c r="B375" s="296" t="s">
        <v>241</v>
      </c>
      <c r="C375" s="252">
        <v>11.58</v>
      </c>
      <c r="D375" s="296" t="s">
        <v>769</v>
      </c>
      <c r="F375" s="362">
        <v>10</v>
      </c>
      <c r="G375" s="252" t="s">
        <v>2251</v>
      </c>
      <c r="H375" s="296" t="s">
        <v>3096</v>
      </c>
      <c r="M375" s="252">
        <v>0.05</v>
      </c>
      <c r="N375" s="296" t="s">
        <v>869</v>
      </c>
      <c r="O375" s="296" t="s">
        <v>2004</v>
      </c>
      <c r="P375" s="252">
        <f>(C84)</f>
        <v>773</v>
      </c>
      <c r="Q375" s="296" t="s">
        <v>869</v>
      </c>
      <c r="R375" s="252">
        <f>(M375*P375)</f>
        <v>38.65</v>
      </c>
      <c r="AG375" s="296" t="s">
        <v>2259</v>
      </c>
    </row>
    <row r="376" spans="1:33" hidden="1">
      <c r="A376" s="379">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379">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379">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379">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379">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379">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379">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379">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379">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379">
        <f t="shared" si="19"/>
        <v>221</v>
      </c>
      <c r="B385" s="296" t="s">
        <v>1113</v>
      </c>
      <c r="K385" s="358" t="s">
        <v>1586</v>
      </c>
      <c r="AG385" s="296" t="s">
        <v>321</v>
      </c>
    </row>
    <row r="386" spans="1:33" hidden="1">
      <c r="A386" s="379">
        <f t="shared" si="19"/>
        <v>222</v>
      </c>
      <c r="B386" s="296" t="s">
        <v>240</v>
      </c>
      <c r="C386" s="252">
        <v>15.87</v>
      </c>
      <c r="D386" s="296" t="s">
        <v>769</v>
      </c>
      <c r="H386" s="296" t="s">
        <v>614</v>
      </c>
      <c r="K386" s="252" t="e">
        <f>SUM(K378:K384)</f>
        <v>#REF!</v>
      </c>
    </row>
    <row r="387" spans="1:33" hidden="1">
      <c r="A387" s="379">
        <f t="shared" si="19"/>
        <v>223</v>
      </c>
      <c r="B387" s="296" t="s">
        <v>241</v>
      </c>
      <c r="C387" s="252">
        <v>20.16</v>
      </c>
      <c r="D387" s="296" t="s">
        <v>769</v>
      </c>
      <c r="K387" s="358" t="s">
        <v>1586</v>
      </c>
      <c r="N387" s="296" t="s">
        <v>675</v>
      </c>
      <c r="O387" s="296" t="s">
        <v>1114</v>
      </c>
    </row>
    <row r="388" spans="1:33" hidden="1">
      <c r="A388" s="379">
        <f t="shared" si="19"/>
        <v>224</v>
      </c>
      <c r="B388" s="296" t="s">
        <v>242</v>
      </c>
      <c r="C388" s="252">
        <v>22.31</v>
      </c>
      <c r="D388" s="296" t="s">
        <v>769</v>
      </c>
      <c r="H388" s="296" t="s">
        <v>773</v>
      </c>
      <c r="K388" s="252" t="e">
        <f>(K386/10)</f>
        <v>#REF!</v>
      </c>
      <c r="O388" s="358" t="s">
        <v>1586</v>
      </c>
      <c r="AG388" s="296" t="s">
        <v>2259</v>
      </c>
    </row>
    <row r="389" spans="1:33" hidden="1">
      <c r="A389" s="379">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379">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379">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379">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379">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379">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379">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379">
        <f t="shared" ref="A396:A420" si="20">(A395+1)</f>
        <v>232</v>
      </c>
      <c r="B396" s="296" t="s">
        <v>1121</v>
      </c>
      <c r="C396" s="252">
        <v>128</v>
      </c>
      <c r="D396" s="296" t="s">
        <v>1771</v>
      </c>
      <c r="K396" s="358" t="s">
        <v>1586</v>
      </c>
      <c r="R396" s="358" t="s">
        <v>1586</v>
      </c>
      <c r="AG396" s="296" t="s">
        <v>2259</v>
      </c>
    </row>
    <row r="397" spans="1:33" hidden="1">
      <c r="A397" s="379">
        <f t="shared" si="20"/>
        <v>233</v>
      </c>
      <c r="B397" s="296" t="s">
        <v>2069</v>
      </c>
      <c r="H397" s="296" t="s">
        <v>441</v>
      </c>
      <c r="K397" s="252" t="e">
        <f>SUM(K393:K395)</f>
        <v>#REF!</v>
      </c>
      <c r="O397" s="296" t="s">
        <v>552</v>
      </c>
      <c r="R397" s="252">
        <f>(R395/100)</f>
        <v>5.49</v>
      </c>
      <c r="AG397" s="296" t="s">
        <v>2259</v>
      </c>
    </row>
    <row r="398" spans="1:33" hidden="1">
      <c r="A398" s="379">
        <f t="shared" si="20"/>
        <v>234</v>
      </c>
      <c r="B398" s="296" t="s">
        <v>1115</v>
      </c>
      <c r="C398" s="252">
        <v>9</v>
      </c>
      <c r="D398" s="296" t="s">
        <v>868</v>
      </c>
      <c r="K398" s="358" t="s">
        <v>1586</v>
      </c>
      <c r="R398" s="358" t="s">
        <v>2055</v>
      </c>
      <c r="AG398" s="296" t="s">
        <v>2259</v>
      </c>
    </row>
    <row r="399" spans="1:33" hidden="1">
      <c r="A399" s="379">
        <f t="shared" si="20"/>
        <v>235</v>
      </c>
      <c r="B399" s="296" t="s">
        <v>1116</v>
      </c>
      <c r="C399" s="252">
        <v>11</v>
      </c>
      <c r="D399" s="296" t="s">
        <v>868</v>
      </c>
      <c r="H399" s="296" t="s">
        <v>552</v>
      </c>
      <c r="K399" s="252" t="e">
        <f>(K397/10)</f>
        <v>#REF!</v>
      </c>
      <c r="N399" s="296" t="s">
        <v>675</v>
      </c>
      <c r="O399" s="296" t="s">
        <v>349</v>
      </c>
      <c r="AG399" s="296" t="s">
        <v>2259</v>
      </c>
    </row>
    <row r="400" spans="1:33" hidden="1">
      <c r="A400" s="379">
        <f t="shared" si="20"/>
        <v>236</v>
      </c>
      <c r="B400" s="296" t="s">
        <v>1117</v>
      </c>
      <c r="C400" s="252">
        <v>18</v>
      </c>
      <c r="D400" s="296" t="s">
        <v>868</v>
      </c>
      <c r="K400" s="358" t="s">
        <v>2055</v>
      </c>
      <c r="O400" s="358" t="s">
        <v>1586</v>
      </c>
      <c r="AG400" s="296" t="s">
        <v>2259</v>
      </c>
    </row>
    <row r="401" spans="1:33" hidden="1">
      <c r="A401" s="379">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379">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379">
        <f t="shared" si="20"/>
        <v>239</v>
      </c>
      <c r="B403" s="296" t="s">
        <v>240</v>
      </c>
      <c r="C403" s="252">
        <v>53.2</v>
      </c>
      <c r="D403" s="296" t="s">
        <v>868</v>
      </c>
      <c r="H403" s="296" t="s">
        <v>2232</v>
      </c>
      <c r="K403" s="252" t="e">
        <f>(K402+C21/10*F393)</f>
        <v>#REF!</v>
      </c>
      <c r="O403" s="296" t="s">
        <v>1530</v>
      </c>
      <c r="R403" s="358" t="s">
        <v>1586</v>
      </c>
      <c r="AG403" s="296" t="s">
        <v>2259</v>
      </c>
    </row>
    <row r="404" spans="1:33" hidden="1">
      <c r="A404" s="379">
        <f t="shared" si="20"/>
        <v>240</v>
      </c>
      <c r="B404" s="296" t="s">
        <v>1121</v>
      </c>
      <c r="C404" s="252">
        <v>76.36</v>
      </c>
      <c r="D404" s="296" t="s">
        <v>868</v>
      </c>
      <c r="H404" s="296" t="s">
        <v>380</v>
      </c>
      <c r="K404" s="252" t="e">
        <f>(K403+C21/10*F393)</f>
        <v>#REF!</v>
      </c>
      <c r="R404" s="252">
        <f>SUM(R401:R402)</f>
        <v>82.4</v>
      </c>
      <c r="AG404" s="296" t="s">
        <v>2259</v>
      </c>
    </row>
    <row r="405" spans="1:33" hidden="1">
      <c r="A405" s="379">
        <f t="shared" si="20"/>
        <v>241</v>
      </c>
      <c r="B405" s="296" t="s">
        <v>1531</v>
      </c>
      <c r="D405" s="296" t="s">
        <v>975</v>
      </c>
      <c r="H405" s="296" t="s">
        <v>1532</v>
      </c>
      <c r="K405" s="252" t="e">
        <f>(K404+C21/10*F393)</f>
        <v>#REF!</v>
      </c>
      <c r="O405" s="296" t="s">
        <v>441</v>
      </c>
      <c r="R405" s="358" t="s">
        <v>1586</v>
      </c>
      <c r="AG405" s="296" t="s">
        <v>2259</v>
      </c>
    </row>
    <row r="406" spans="1:33" hidden="1">
      <c r="A406" s="379">
        <f t="shared" si="20"/>
        <v>242</v>
      </c>
      <c r="B406" s="296" t="s">
        <v>1115</v>
      </c>
      <c r="C406" s="252">
        <v>5.5</v>
      </c>
      <c r="D406" s="296" t="s">
        <v>868</v>
      </c>
      <c r="F406" s="362">
        <v>11</v>
      </c>
      <c r="G406" s="252" t="s">
        <v>2251</v>
      </c>
      <c r="H406" s="296" t="s">
        <v>3096</v>
      </c>
      <c r="R406" s="252">
        <f>(R404/10)</f>
        <v>8.24</v>
      </c>
      <c r="AG406" s="296" t="s">
        <v>2259</v>
      </c>
    </row>
    <row r="407" spans="1:33" hidden="1">
      <c r="A407" s="379">
        <f t="shared" si="20"/>
        <v>243</v>
      </c>
      <c r="B407" s="296" t="s">
        <v>1116</v>
      </c>
      <c r="C407" s="252">
        <v>8</v>
      </c>
      <c r="D407" s="296" t="s">
        <v>868</v>
      </c>
      <c r="H407" s="252" t="str">
        <f>H308</f>
        <v>Bricks of size 22x11x7 cm</v>
      </c>
      <c r="O407" s="296" t="s">
        <v>552</v>
      </c>
      <c r="R407" s="358" t="s">
        <v>2055</v>
      </c>
      <c r="AG407" s="296" t="s">
        <v>2259</v>
      </c>
    </row>
    <row r="408" spans="1:33" hidden="1">
      <c r="A408" s="379">
        <f t="shared" si="20"/>
        <v>244</v>
      </c>
      <c r="B408" s="296" t="s">
        <v>1117</v>
      </c>
      <c r="C408" s="252">
        <v>10.4</v>
      </c>
      <c r="D408" s="296" t="s">
        <v>868</v>
      </c>
      <c r="H408" s="358" t="s">
        <v>1586</v>
      </c>
      <c r="AG408" s="296" t="s">
        <v>2259</v>
      </c>
    </row>
    <row r="409" spans="1:33" hidden="1">
      <c r="A409" s="379">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379">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379">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379">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379">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379">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379">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379">
        <f t="shared" si="20"/>
        <v>252</v>
      </c>
      <c r="B416" s="296" t="s">
        <v>1117</v>
      </c>
      <c r="C416" s="252">
        <v>14</v>
      </c>
      <c r="D416" s="296" t="s">
        <v>868</v>
      </c>
      <c r="K416" s="358" t="s">
        <v>1586</v>
      </c>
      <c r="O416" s="296" t="s">
        <v>441</v>
      </c>
      <c r="R416" s="358" t="s">
        <v>1586</v>
      </c>
      <c r="AG416" s="296" t="s">
        <v>2259</v>
      </c>
    </row>
    <row r="417" spans="1:33" hidden="1">
      <c r="A417" s="379">
        <f t="shared" si="20"/>
        <v>253</v>
      </c>
      <c r="B417" s="296" t="s">
        <v>1118</v>
      </c>
      <c r="C417" s="252">
        <v>30.11</v>
      </c>
      <c r="D417" s="296" t="s">
        <v>868</v>
      </c>
      <c r="H417" s="296" t="s">
        <v>614</v>
      </c>
      <c r="K417" s="252" t="e">
        <f>SUM(K409:K415)</f>
        <v>#REF!</v>
      </c>
      <c r="R417" s="252">
        <f>(R415/10)</f>
        <v>12.03</v>
      </c>
      <c r="AG417" s="296" t="s">
        <v>2259</v>
      </c>
    </row>
    <row r="418" spans="1:33" hidden="1">
      <c r="A418" s="379">
        <f t="shared" si="20"/>
        <v>254</v>
      </c>
      <c r="B418" s="296" t="s">
        <v>1120</v>
      </c>
      <c r="C418" s="252">
        <v>47.25</v>
      </c>
      <c r="D418" s="296" t="s">
        <v>868</v>
      </c>
      <c r="K418" s="358" t="s">
        <v>1586</v>
      </c>
      <c r="O418" s="296" t="s">
        <v>552</v>
      </c>
      <c r="R418" s="358" t="s">
        <v>2055</v>
      </c>
      <c r="AG418" s="296" t="s">
        <v>2259</v>
      </c>
    </row>
    <row r="419" spans="1:33" hidden="1">
      <c r="A419" s="379">
        <f t="shared" si="20"/>
        <v>255</v>
      </c>
      <c r="B419" s="296" t="s">
        <v>240</v>
      </c>
      <c r="C419" s="252">
        <v>71.16</v>
      </c>
      <c r="D419" s="296" t="s">
        <v>868</v>
      </c>
      <c r="H419" s="296" t="s">
        <v>773</v>
      </c>
      <c r="K419" s="252" t="e">
        <f>(K417/10)</f>
        <v>#REF!</v>
      </c>
      <c r="AG419" s="296" t="s">
        <v>2259</v>
      </c>
    </row>
    <row r="420" spans="1:33" hidden="1">
      <c r="A420" s="379">
        <f t="shared" si="20"/>
        <v>256</v>
      </c>
      <c r="B420" s="296" t="s">
        <v>1121</v>
      </c>
      <c r="C420" s="252">
        <v>125.84</v>
      </c>
      <c r="D420" s="296" t="s">
        <v>868</v>
      </c>
      <c r="K420" s="358" t="s">
        <v>2055</v>
      </c>
      <c r="AG420" s="296" t="s">
        <v>2259</v>
      </c>
    </row>
    <row r="421" spans="1:33" hidden="1">
      <c r="F421" s="296" t="s">
        <v>249</v>
      </c>
    </row>
    <row r="422" spans="1:33" hidden="1">
      <c r="A422" s="379">
        <f>(A420+1)</f>
        <v>257</v>
      </c>
      <c r="B422" s="296" t="s">
        <v>1537</v>
      </c>
      <c r="D422" s="296" t="s">
        <v>975</v>
      </c>
      <c r="O422" s="253" t="s">
        <v>1538</v>
      </c>
      <c r="AG422" s="296" t="s">
        <v>2259</v>
      </c>
    </row>
    <row r="423" spans="1:33" hidden="1">
      <c r="A423" s="379">
        <f t="shared" ref="A423:A436" si="21">(A422+1)</f>
        <v>258</v>
      </c>
      <c r="B423" s="296" t="s">
        <v>1115</v>
      </c>
      <c r="C423" s="252">
        <v>17</v>
      </c>
      <c r="D423" s="296" t="s">
        <v>868</v>
      </c>
      <c r="G423" s="252" t="s">
        <v>1539</v>
      </c>
      <c r="H423" s="296" t="s">
        <v>431</v>
      </c>
      <c r="O423" s="358" t="s">
        <v>1586</v>
      </c>
      <c r="AG423" s="296" t="s">
        <v>2259</v>
      </c>
    </row>
    <row r="424" spans="1:33" hidden="1">
      <c r="A424" s="379">
        <f t="shared" si="21"/>
        <v>259</v>
      </c>
      <c r="B424" s="296" t="s">
        <v>1116</v>
      </c>
      <c r="C424" s="252">
        <v>23.4</v>
      </c>
      <c r="D424" s="296" t="s">
        <v>868</v>
      </c>
      <c r="H424" s="358" t="s">
        <v>1586</v>
      </c>
      <c r="N424" s="296" t="s">
        <v>2251</v>
      </c>
      <c r="O424" s="296" t="s">
        <v>2047</v>
      </c>
      <c r="AG424" s="296" t="s">
        <v>2259</v>
      </c>
    </row>
    <row r="425" spans="1:33" hidden="1">
      <c r="A425" s="379">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379">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379">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379">
        <f t="shared" si="21"/>
        <v>263</v>
      </c>
      <c r="B428" s="296" t="s">
        <v>240</v>
      </c>
      <c r="C428" s="252">
        <v>92.66</v>
      </c>
      <c r="D428" s="296" t="s">
        <v>868</v>
      </c>
      <c r="K428" s="358" t="s">
        <v>1586</v>
      </c>
      <c r="N428" s="296" t="s">
        <v>154</v>
      </c>
      <c r="O428" s="253" t="s">
        <v>155</v>
      </c>
      <c r="AG428" s="296" t="s">
        <v>2259</v>
      </c>
    </row>
    <row r="429" spans="1:33" hidden="1">
      <c r="A429" s="379">
        <f t="shared" si="21"/>
        <v>264</v>
      </c>
      <c r="B429" s="296" t="s">
        <v>1121</v>
      </c>
      <c r="C429" s="252">
        <v>141.86000000000001</v>
      </c>
      <c r="D429" s="296" t="s">
        <v>868</v>
      </c>
      <c r="H429" s="296" t="s">
        <v>441</v>
      </c>
      <c r="K429" s="252" t="e">
        <f>SUM(K425:K427)</f>
        <v>#REF!</v>
      </c>
      <c r="O429" s="358" t="s">
        <v>1586</v>
      </c>
      <c r="AG429" s="296" t="s">
        <v>2259</v>
      </c>
    </row>
    <row r="430" spans="1:33" hidden="1">
      <c r="A430" s="379">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379">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379">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379">
        <f t="shared" si="21"/>
        <v>268</v>
      </c>
      <c r="B433" s="296" t="s">
        <v>1117</v>
      </c>
      <c r="C433" s="252">
        <v>4</v>
      </c>
      <c r="D433" s="296" t="s">
        <v>868</v>
      </c>
      <c r="H433" s="296" t="s">
        <v>386</v>
      </c>
      <c r="K433" s="252" t="e">
        <f>(K431+C19/10*F425)</f>
        <v>#REF!</v>
      </c>
      <c r="O433" s="296" t="s">
        <v>2159</v>
      </c>
      <c r="AG433" s="296" t="s">
        <v>2259</v>
      </c>
    </row>
    <row r="434" spans="1:33" hidden="1">
      <c r="A434" s="379">
        <f t="shared" si="21"/>
        <v>269</v>
      </c>
      <c r="B434" s="296" t="s">
        <v>1118</v>
      </c>
      <c r="C434" s="252">
        <v>6.86</v>
      </c>
      <c r="D434" s="296" t="s">
        <v>868</v>
      </c>
      <c r="H434" s="296" t="s">
        <v>388</v>
      </c>
      <c r="K434" s="252" t="e">
        <f>(K433+C20/10*F425)</f>
        <v>#REF!</v>
      </c>
      <c r="O434" s="296" t="s">
        <v>2160</v>
      </c>
      <c r="AG434" s="296" t="s">
        <v>2259</v>
      </c>
    </row>
    <row r="435" spans="1:33" hidden="1">
      <c r="A435" s="379">
        <f t="shared" si="21"/>
        <v>270</v>
      </c>
      <c r="B435" s="296" t="s">
        <v>1120</v>
      </c>
      <c r="C435" s="252">
        <v>9.15</v>
      </c>
      <c r="D435" s="296" t="s">
        <v>868</v>
      </c>
      <c r="H435" s="296" t="s">
        <v>2232</v>
      </c>
      <c r="K435" s="252" t="e">
        <f>(K434+C21/10*F425)</f>
        <v>#REF!</v>
      </c>
      <c r="O435" s="296" t="s">
        <v>2161</v>
      </c>
      <c r="AG435" s="296" t="s">
        <v>2259</v>
      </c>
    </row>
    <row r="436" spans="1:33" hidden="1">
      <c r="A436" s="379">
        <f t="shared" si="21"/>
        <v>271</v>
      </c>
      <c r="B436" s="296" t="s">
        <v>240</v>
      </c>
      <c r="C436" s="252">
        <v>14.59</v>
      </c>
      <c r="D436" s="296" t="s">
        <v>868</v>
      </c>
      <c r="H436" s="296" t="s">
        <v>380</v>
      </c>
      <c r="K436" s="252" t="e">
        <f>(K435+C21/10*F425)</f>
        <v>#REF!</v>
      </c>
      <c r="O436" s="296" t="s">
        <v>2164</v>
      </c>
      <c r="AG436" s="296" t="s">
        <v>2259</v>
      </c>
    </row>
    <row r="437" spans="1:33" hidden="1">
      <c r="A437" s="379"/>
      <c r="B437" s="296"/>
      <c r="D437" s="296"/>
      <c r="H437" s="296" t="s">
        <v>833</v>
      </c>
      <c r="K437" s="252" t="e">
        <f>(K436+C22/10*F426)</f>
        <v>#REF!</v>
      </c>
      <c r="O437" s="296"/>
      <c r="AG437" s="296"/>
    </row>
    <row r="438" spans="1:33" hidden="1">
      <c r="A438" s="379">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379">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379">
        <f t="shared" si="22"/>
        <v>274</v>
      </c>
      <c r="B440" s="296" t="s">
        <v>1115</v>
      </c>
      <c r="C440" s="252">
        <v>8.85</v>
      </c>
      <c r="D440" s="296" t="s">
        <v>868</v>
      </c>
      <c r="F440" s="362">
        <v>12</v>
      </c>
      <c r="G440" s="252" t="s">
        <v>2251</v>
      </c>
      <c r="H440" s="296" t="s">
        <v>468</v>
      </c>
      <c r="M440" s="252">
        <v>1</v>
      </c>
      <c r="N440" s="296" t="s">
        <v>449</v>
      </c>
      <c r="O440" s="296" t="s">
        <v>1684</v>
      </c>
      <c r="P440" s="252">
        <f>(C56)</f>
        <v>12.1</v>
      </c>
      <c r="Q440" s="296" t="s">
        <v>449</v>
      </c>
      <c r="R440" s="252">
        <f>(M440*P440)</f>
        <v>12.1</v>
      </c>
      <c r="AG440" s="296" t="s">
        <v>2259</v>
      </c>
    </row>
    <row r="441" spans="1:33" hidden="1">
      <c r="A441" s="379">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379">
        <f t="shared" si="22"/>
        <v>276</v>
      </c>
      <c r="B442" s="296" t="s">
        <v>1117</v>
      </c>
      <c r="C442" s="252">
        <v>20.7</v>
      </c>
      <c r="D442" s="296" t="s">
        <v>868</v>
      </c>
      <c r="H442" s="358" t="s">
        <v>1586</v>
      </c>
      <c r="R442" s="358" t="s">
        <v>1586</v>
      </c>
      <c r="AG442" s="296" t="s">
        <v>2259</v>
      </c>
    </row>
    <row r="443" spans="1:33" hidden="1">
      <c r="A443" s="379">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379">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379">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379">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379">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379">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379">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379">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379">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379">
        <f t="shared" si="22"/>
        <v>286</v>
      </c>
      <c r="B452" s="296" t="s">
        <v>1120</v>
      </c>
      <c r="C452" s="252">
        <v>39.630000000000003</v>
      </c>
      <c r="D452" s="296" t="s">
        <v>868</v>
      </c>
      <c r="K452" s="358" t="s">
        <v>1586</v>
      </c>
      <c r="O452" s="296" t="s">
        <v>2159</v>
      </c>
      <c r="AG452" s="296" t="s">
        <v>2259</v>
      </c>
    </row>
    <row r="453" spans="1:33" hidden="1">
      <c r="A453" s="379">
        <f t="shared" si="22"/>
        <v>287</v>
      </c>
      <c r="B453" s="296" t="s">
        <v>240</v>
      </c>
      <c r="C453" s="252">
        <v>70.47</v>
      </c>
      <c r="D453" s="296" t="s">
        <v>868</v>
      </c>
      <c r="H453" s="296" t="s">
        <v>773</v>
      </c>
      <c r="K453" s="252" t="e">
        <f>(K451/10)</f>
        <v>#REF!</v>
      </c>
      <c r="O453" s="296" t="s">
        <v>2160</v>
      </c>
      <c r="AG453" s="296" t="s">
        <v>2259</v>
      </c>
    </row>
    <row r="454" spans="1:33" hidden="1">
      <c r="A454" s="379">
        <f t="shared" si="22"/>
        <v>288</v>
      </c>
      <c r="B454" s="296" t="s">
        <v>1121</v>
      </c>
      <c r="C454" s="252">
        <v>70.47</v>
      </c>
      <c r="D454" s="296" t="s">
        <v>868</v>
      </c>
      <c r="K454" s="358" t="s">
        <v>2055</v>
      </c>
      <c r="O454" s="296" t="s">
        <v>2161</v>
      </c>
      <c r="AG454" s="296" t="s">
        <v>2259</v>
      </c>
    </row>
    <row r="455" spans="1:33" hidden="1">
      <c r="A455" s="379">
        <f t="shared" si="22"/>
        <v>289</v>
      </c>
      <c r="B455" s="296" t="s">
        <v>2288</v>
      </c>
      <c r="D455" s="296" t="s">
        <v>975</v>
      </c>
      <c r="O455" s="296" t="s">
        <v>2164</v>
      </c>
      <c r="AG455" s="296" t="s">
        <v>2259</v>
      </c>
    </row>
    <row r="456" spans="1:33" hidden="1">
      <c r="A456" s="379">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379">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379">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379">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379">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379">
        <f t="shared" si="22"/>
        <v>295</v>
      </c>
      <c r="B461" s="296" t="s">
        <v>1081</v>
      </c>
      <c r="C461" s="252">
        <v>350</v>
      </c>
      <c r="D461" s="252">
        <v>375</v>
      </c>
      <c r="K461" s="358" t="s">
        <v>1586</v>
      </c>
      <c r="O461" s="296" t="s">
        <v>1544</v>
      </c>
      <c r="R461" s="252">
        <f>SUM(R449:R459)</f>
        <v>584.08000000000004</v>
      </c>
      <c r="AG461" s="296" t="s">
        <v>2259</v>
      </c>
    </row>
    <row r="462" spans="1:33" hidden="1">
      <c r="A462" s="379">
        <f t="shared" si="22"/>
        <v>296</v>
      </c>
      <c r="B462" s="296" t="s">
        <v>2096</v>
      </c>
      <c r="C462" s="252">
        <v>400</v>
      </c>
      <c r="D462" s="252">
        <v>425</v>
      </c>
      <c r="H462" s="296" t="s">
        <v>441</v>
      </c>
      <c r="K462" s="252" t="e">
        <f>SUM(K458:K460)</f>
        <v>#REF!</v>
      </c>
      <c r="R462" s="358" t="s">
        <v>1586</v>
      </c>
      <c r="AG462" s="296" t="s">
        <v>2259</v>
      </c>
    </row>
    <row r="463" spans="1:33" hidden="1">
      <c r="A463" s="379">
        <f t="shared" si="22"/>
        <v>297</v>
      </c>
      <c r="B463" s="296" t="s">
        <v>1058</v>
      </c>
      <c r="C463" s="252">
        <v>450</v>
      </c>
      <c r="D463" s="252">
        <v>500</v>
      </c>
      <c r="K463" s="358" t="s">
        <v>1586</v>
      </c>
      <c r="O463" s="296" t="s">
        <v>1545</v>
      </c>
      <c r="R463" s="252">
        <f>(R461/30)</f>
        <v>19.47</v>
      </c>
      <c r="AG463" s="296" t="s">
        <v>2259</v>
      </c>
    </row>
    <row r="464" spans="1:33" hidden="1">
      <c r="A464" s="379">
        <f t="shared" si="22"/>
        <v>298</v>
      </c>
      <c r="B464" s="296" t="s">
        <v>1953</v>
      </c>
      <c r="C464" s="252">
        <v>77.819999999999993</v>
      </c>
      <c r="D464" s="296" t="s">
        <v>868</v>
      </c>
      <c r="H464" s="296" t="s">
        <v>552</v>
      </c>
      <c r="K464" s="252" t="e">
        <f>(K462/10)</f>
        <v>#REF!</v>
      </c>
      <c r="R464" s="358" t="s">
        <v>1586</v>
      </c>
      <c r="AG464" s="296" t="s">
        <v>2259</v>
      </c>
    </row>
    <row r="465" spans="1:33" hidden="1">
      <c r="A465" s="379">
        <f t="shared" si="22"/>
        <v>299</v>
      </c>
      <c r="B465" s="296" t="s">
        <v>1954</v>
      </c>
      <c r="C465" s="252">
        <v>99.74</v>
      </c>
      <c r="D465" s="296" t="s">
        <v>868</v>
      </c>
      <c r="K465" s="358" t="s">
        <v>2055</v>
      </c>
      <c r="N465" s="296" t="s">
        <v>1955</v>
      </c>
      <c r="O465" s="253" t="s">
        <v>1956</v>
      </c>
      <c r="AG465" s="296" t="s">
        <v>2259</v>
      </c>
    </row>
    <row r="466" spans="1:33" hidden="1">
      <c r="A466" s="379">
        <f t="shared" si="22"/>
        <v>300</v>
      </c>
      <c r="B466" s="296" t="s">
        <v>1117</v>
      </c>
      <c r="C466" s="252">
        <v>165</v>
      </c>
      <c r="D466" s="296" t="s">
        <v>868</v>
      </c>
      <c r="H466" s="296" t="s">
        <v>386</v>
      </c>
      <c r="K466" s="252" t="e">
        <f>(K464+C19/10*F458)</f>
        <v>#REF!</v>
      </c>
      <c r="O466" s="358" t="s">
        <v>1586</v>
      </c>
      <c r="AG466" s="296" t="s">
        <v>2259</v>
      </c>
    </row>
    <row r="467" spans="1:33" hidden="1">
      <c r="A467" s="379">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379">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379">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379">
        <f t="shared" si="22"/>
        <v>304</v>
      </c>
      <c r="B470" s="296" t="s">
        <v>1121</v>
      </c>
      <c r="D470" s="296" t="s">
        <v>868</v>
      </c>
      <c r="H470" s="296" t="s">
        <v>1532</v>
      </c>
      <c r="K470" s="252" t="e">
        <f>(K469+C22/10*F459)</f>
        <v>#REF!</v>
      </c>
      <c r="O470" s="296" t="s">
        <v>2159</v>
      </c>
      <c r="AG470" s="296" t="s">
        <v>2259</v>
      </c>
    </row>
    <row r="471" spans="1:33" hidden="1">
      <c r="A471" s="379">
        <f t="shared" ref="A471:A489" si="23">(A470+1)</f>
        <v>305</v>
      </c>
      <c r="B471" s="296" t="s">
        <v>2909</v>
      </c>
      <c r="D471" s="296" t="s">
        <v>868</v>
      </c>
      <c r="F471" s="253" t="s">
        <v>1957</v>
      </c>
      <c r="G471" s="252" t="s">
        <v>2251</v>
      </c>
      <c r="H471" s="296" t="s">
        <v>1958</v>
      </c>
      <c r="O471" s="296" t="s">
        <v>2160</v>
      </c>
      <c r="AG471" s="296" t="s">
        <v>2259</v>
      </c>
    </row>
    <row r="472" spans="1:33" hidden="1">
      <c r="A472" s="379">
        <f t="shared" si="23"/>
        <v>306</v>
      </c>
      <c r="B472" s="296" t="s">
        <v>1115</v>
      </c>
      <c r="C472" s="252">
        <v>130</v>
      </c>
      <c r="D472" s="296" t="s">
        <v>868</v>
      </c>
      <c r="H472" s="296" t="s">
        <v>2238</v>
      </c>
      <c r="O472" s="296" t="s">
        <v>2161</v>
      </c>
      <c r="AG472" s="296" t="s">
        <v>2259</v>
      </c>
    </row>
    <row r="473" spans="1:33" hidden="1">
      <c r="A473" s="379">
        <f t="shared" si="23"/>
        <v>307</v>
      </c>
      <c r="B473" s="296" t="s">
        <v>1116</v>
      </c>
      <c r="C473" s="252">
        <v>178</v>
      </c>
      <c r="D473" s="296" t="s">
        <v>868</v>
      </c>
      <c r="H473" s="358" t="s">
        <v>1586</v>
      </c>
      <c r="O473" s="296" t="s">
        <v>2164</v>
      </c>
      <c r="AG473" s="296" t="s">
        <v>2259</v>
      </c>
    </row>
    <row r="474" spans="1:33" hidden="1">
      <c r="A474" s="379">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379">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379">
        <f t="shared" si="23"/>
        <v>310</v>
      </c>
      <c r="B476" s="296" t="s">
        <v>1120</v>
      </c>
      <c r="C476" s="252">
        <v>508</v>
      </c>
      <c r="D476" s="296" t="s">
        <v>868</v>
      </c>
      <c r="F476" s="366">
        <v>7.3</v>
      </c>
      <c r="G476" s="252" t="s">
        <v>2251</v>
      </c>
      <c r="H476" s="296" t="s">
        <v>2240</v>
      </c>
      <c r="M476" s="252">
        <v>1</v>
      </c>
      <c r="N476" s="296" t="s">
        <v>449</v>
      </c>
      <c r="O476" s="296" t="s">
        <v>1684</v>
      </c>
      <c r="P476" s="252">
        <f>(C56)</f>
        <v>12.1</v>
      </c>
      <c r="Q476" s="296" t="s">
        <v>449</v>
      </c>
      <c r="R476" s="252">
        <f>(M476*P476)</f>
        <v>12.1</v>
      </c>
      <c r="AG476" s="296" t="s">
        <v>2259</v>
      </c>
    </row>
    <row r="477" spans="1:33" hidden="1">
      <c r="A477" s="379">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379">
        <f t="shared" si="23"/>
        <v>312</v>
      </c>
      <c r="B478" s="296" t="s">
        <v>1121</v>
      </c>
      <c r="D478" s="296" t="s">
        <v>868</v>
      </c>
      <c r="F478" s="296" t="s">
        <v>975</v>
      </c>
      <c r="H478" s="358" t="s">
        <v>1586</v>
      </c>
      <c r="R478" s="358" t="s">
        <v>1586</v>
      </c>
      <c r="AG478" s="296" t="s">
        <v>2259</v>
      </c>
    </row>
    <row r="479" spans="1:33" hidden="1">
      <c r="A479" s="379">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379">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379">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379">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379">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379">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379">
        <f t="shared" si="23"/>
        <v>319</v>
      </c>
      <c r="B485" s="296" t="s">
        <v>240</v>
      </c>
      <c r="C485" s="252">
        <v>584</v>
      </c>
      <c r="D485" s="296" t="s">
        <v>868</v>
      </c>
      <c r="H485" s="296" t="s">
        <v>450</v>
      </c>
      <c r="I485" s="296" t="s">
        <v>975</v>
      </c>
      <c r="J485" s="253" t="s">
        <v>449</v>
      </c>
      <c r="K485" s="252">
        <v>0</v>
      </c>
      <c r="O485" s="296" t="s">
        <v>2048</v>
      </c>
      <c r="AG485" s="296" t="s">
        <v>2259</v>
      </c>
    </row>
    <row r="486" spans="1:33" hidden="1">
      <c r="A486" s="379">
        <f t="shared" si="23"/>
        <v>320</v>
      </c>
      <c r="B486" s="296" t="s">
        <v>1121</v>
      </c>
      <c r="D486" s="296" t="s">
        <v>868</v>
      </c>
      <c r="K486" s="358" t="s">
        <v>1586</v>
      </c>
      <c r="O486" s="296" t="s">
        <v>948</v>
      </c>
      <c r="AG486" s="296" t="s">
        <v>2259</v>
      </c>
    </row>
    <row r="487" spans="1:33" hidden="1">
      <c r="A487" s="379">
        <f t="shared" si="23"/>
        <v>321</v>
      </c>
      <c r="B487" s="296" t="s">
        <v>949</v>
      </c>
      <c r="D487" s="296" t="s">
        <v>868</v>
      </c>
      <c r="H487" s="296" t="s">
        <v>614</v>
      </c>
      <c r="K487" s="252" t="e">
        <f>SUM(K478:K485)</f>
        <v>#REF!</v>
      </c>
      <c r="O487" s="358" t="s">
        <v>1586</v>
      </c>
      <c r="AG487" s="296" t="s">
        <v>2259</v>
      </c>
    </row>
    <row r="488" spans="1:33" hidden="1">
      <c r="A488" s="379">
        <f t="shared" si="23"/>
        <v>322</v>
      </c>
      <c r="B488" s="296" t="s">
        <v>952</v>
      </c>
      <c r="C488" s="252">
        <v>8.75</v>
      </c>
      <c r="D488" s="296" t="s">
        <v>868</v>
      </c>
      <c r="K488" s="358" t="s">
        <v>1586</v>
      </c>
      <c r="N488" s="296" t="s">
        <v>154</v>
      </c>
      <c r="O488" s="253" t="s">
        <v>953</v>
      </c>
      <c r="AG488" s="296" t="s">
        <v>2259</v>
      </c>
    </row>
    <row r="489" spans="1:33" hidden="1">
      <c r="A489" s="379">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379">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379">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379">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379">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379">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379">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379">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379">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379">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379">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379">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379">
        <f t="shared" si="25"/>
        <v>335</v>
      </c>
      <c r="B502" s="296" t="s">
        <v>744</v>
      </c>
      <c r="C502" s="252">
        <v>15.6</v>
      </c>
      <c r="D502" s="296" t="s">
        <v>868</v>
      </c>
      <c r="K502" s="358" t="s">
        <v>1586</v>
      </c>
      <c r="R502" s="358" t="s">
        <v>1586</v>
      </c>
      <c r="AG502" s="296" t="s">
        <v>2259</v>
      </c>
    </row>
    <row r="503" spans="1:33" hidden="1">
      <c r="A503" s="379">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379">
        <f t="shared" si="25"/>
        <v>337</v>
      </c>
      <c r="B504" s="296" t="s">
        <v>1851</v>
      </c>
      <c r="C504" s="252">
        <v>36.61</v>
      </c>
      <c r="D504" s="296" t="s">
        <v>868</v>
      </c>
      <c r="K504" s="358" t="s">
        <v>1586</v>
      </c>
      <c r="R504" s="358" t="s">
        <v>1586</v>
      </c>
      <c r="AG504" s="296" t="s">
        <v>2259</v>
      </c>
    </row>
    <row r="505" spans="1:33" hidden="1">
      <c r="A505" s="379">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379">
        <f t="shared" si="25"/>
        <v>339</v>
      </c>
      <c r="B506" s="296" t="s">
        <v>1668</v>
      </c>
      <c r="C506" s="252">
        <v>78.709999999999994</v>
      </c>
      <c r="D506" s="296" t="s">
        <v>868</v>
      </c>
      <c r="R506" s="358" t="s">
        <v>1586</v>
      </c>
      <c r="AG506" s="296" t="s">
        <v>2259</v>
      </c>
    </row>
    <row r="507" spans="1:33" hidden="1">
      <c r="A507" s="379">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379">
        <f t="shared" si="25"/>
        <v>341</v>
      </c>
      <c r="B508" s="296" t="s">
        <v>1068</v>
      </c>
      <c r="C508" s="252">
        <v>20.55</v>
      </c>
      <c r="D508" s="296" t="s">
        <v>1771</v>
      </c>
      <c r="K508" s="358" t="s">
        <v>1586</v>
      </c>
      <c r="O508" s="358" t="s">
        <v>1586</v>
      </c>
      <c r="AG508" s="296" t="s">
        <v>2259</v>
      </c>
    </row>
    <row r="509" spans="1:33" hidden="1">
      <c r="A509" s="379">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379">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379">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379">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379">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379">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379">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379">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379">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379">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379">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379">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379">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379">
        <f t="shared" si="25"/>
        <v>355</v>
      </c>
      <c r="B522" s="296" t="s">
        <v>1115</v>
      </c>
      <c r="C522" s="252">
        <v>4.62</v>
      </c>
      <c r="D522" s="296" t="s">
        <v>868</v>
      </c>
      <c r="K522" s="358" t="s">
        <v>1586</v>
      </c>
      <c r="R522" s="358" t="s">
        <v>1586</v>
      </c>
      <c r="AG522" s="296" t="s">
        <v>2259</v>
      </c>
    </row>
    <row r="523" spans="1:33" hidden="1">
      <c r="A523" s="379">
        <f t="shared" si="25"/>
        <v>356</v>
      </c>
      <c r="B523" s="296" t="s">
        <v>1116</v>
      </c>
      <c r="C523" s="252">
        <v>7.83</v>
      </c>
      <c r="D523" s="296" t="s">
        <v>868</v>
      </c>
      <c r="H523" s="296" t="s">
        <v>1748</v>
      </c>
      <c r="K523" s="252" t="e">
        <f>SUM(K518:K521)</f>
        <v>#REF!</v>
      </c>
      <c r="O523" s="296" t="s">
        <v>1545</v>
      </c>
      <c r="R523" s="252">
        <f>(R521/30)</f>
        <v>28.76</v>
      </c>
      <c r="AG523" s="296" t="s">
        <v>2259</v>
      </c>
    </row>
    <row r="524" spans="1:33" hidden="1">
      <c r="A524" s="379">
        <f t="shared" ref="A524:A546" si="29">(A523+1)</f>
        <v>357</v>
      </c>
      <c r="B524" s="296" t="s">
        <v>1117</v>
      </c>
      <c r="C524" s="252">
        <v>11.38</v>
      </c>
      <c r="D524" s="296" t="s">
        <v>868</v>
      </c>
      <c r="K524" s="358" t="s">
        <v>1586</v>
      </c>
      <c r="R524" s="358" t="s">
        <v>1586</v>
      </c>
      <c r="AG524" s="296" t="s">
        <v>2259</v>
      </c>
    </row>
    <row r="525" spans="1:33" hidden="1">
      <c r="A525" s="379">
        <f t="shared" si="29"/>
        <v>358</v>
      </c>
      <c r="B525" s="296" t="s">
        <v>1118</v>
      </c>
      <c r="C525" s="252">
        <v>18.75</v>
      </c>
      <c r="D525" s="296" t="s">
        <v>868</v>
      </c>
      <c r="H525" s="296" t="s">
        <v>552</v>
      </c>
      <c r="K525" s="252" t="e">
        <f>(K523/0.743)</f>
        <v>#REF!</v>
      </c>
      <c r="AG525" s="296" t="s">
        <v>2259</v>
      </c>
    </row>
    <row r="526" spans="1:33" hidden="1">
      <c r="A526" s="379">
        <f t="shared" si="29"/>
        <v>359</v>
      </c>
      <c r="B526" s="296" t="s">
        <v>1120</v>
      </c>
      <c r="C526" s="252">
        <v>35.1</v>
      </c>
      <c r="D526" s="296" t="s">
        <v>868</v>
      </c>
      <c r="K526" s="358" t="s">
        <v>2055</v>
      </c>
      <c r="AG526" s="296" t="s">
        <v>2259</v>
      </c>
    </row>
    <row r="527" spans="1:33" hidden="1">
      <c r="A527" s="379">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379">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379">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379">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379">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379">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379">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379">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379">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379">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379">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379">
        <f t="shared" si="29"/>
        <v>371</v>
      </c>
      <c r="B538" s="296" t="s">
        <v>1663</v>
      </c>
      <c r="C538" s="252">
        <v>6.18</v>
      </c>
      <c r="D538" s="296" t="s">
        <v>868</v>
      </c>
      <c r="K538" s="358" t="s">
        <v>1586</v>
      </c>
      <c r="O538" s="296" t="s">
        <v>1849</v>
      </c>
      <c r="P538" s="296" t="s">
        <v>975</v>
      </c>
      <c r="R538" s="296" t="s">
        <v>975</v>
      </c>
      <c r="AG538" s="296" t="s">
        <v>2259</v>
      </c>
    </row>
    <row r="539" spans="1:33" hidden="1">
      <c r="A539" s="379">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379">
        <f t="shared" si="29"/>
        <v>373</v>
      </c>
      <c r="B540" s="296" t="s">
        <v>1131</v>
      </c>
      <c r="C540" s="252">
        <v>14.11</v>
      </c>
      <c r="D540" s="296" t="s">
        <v>868</v>
      </c>
      <c r="K540" s="358" t="s">
        <v>1586</v>
      </c>
      <c r="R540" s="358" t="s">
        <v>1586</v>
      </c>
      <c r="AG540" s="296" t="s">
        <v>2259</v>
      </c>
    </row>
    <row r="541" spans="1:33" hidden="1">
      <c r="A541" s="379">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379">
        <f t="shared" si="29"/>
        <v>375</v>
      </c>
      <c r="B542" s="296" t="s">
        <v>1864</v>
      </c>
      <c r="D542" s="296" t="s">
        <v>975</v>
      </c>
      <c r="K542" s="358" t="s">
        <v>2055</v>
      </c>
      <c r="R542" s="358" t="s">
        <v>1586</v>
      </c>
      <c r="AG542" s="296" t="s">
        <v>2259</v>
      </c>
    </row>
    <row r="543" spans="1:33" hidden="1">
      <c r="A543" s="379">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379">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379">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379">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379">
        <f>(A546+1)</f>
        <v>380</v>
      </c>
      <c r="B548" s="296" t="s">
        <v>1131</v>
      </c>
      <c r="C548" s="252">
        <v>38.35</v>
      </c>
      <c r="D548" s="296" t="s">
        <v>868</v>
      </c>
      <c r="O548" s="296" t="s">
        <v>153</v>
      </c>
      <c r="AG548" s="296" t="s">
        <v>2259</v>
      </c>
    </row>
    <row r="549" spans="1:33" hidden="1">
      <c r="A549" s="379">
        <f t="shared" ref="A549:A564" si="31">(A548+1)</f>
        <v>381</v>
      </c>
      <c r="B549" s="296" t="s">
        <v>1132</v>
      </c>
      <c r="C549" s="252">
        <v>37.96</v>
      </c>
      <c r="D549" s="296" t="s">
        <v>868</v>
      </c>
      <c r="F549" s="366"/>
      <c r="G549" s="252" t="s">
        <v>975</v>
      </c>
      <c r="H549" s="296" t="s">
        <v>133</v>
      </c>
      <c r="O549" s="358" t="s">
        <v>1586</v>
      </c>
      <c r="AG549" s="296" t="s">
        <v>2259</v>
      </c>
    </row>
    <row r="550" spans="1:33" hidden="1">
      <c r="A550" s="379">
        <f t="shared" si="31"/>
        <v>382</v>
      </c>
      <c r="B550" s="296" t="s">
        <v>134</v>
      </c>
      <c r="D550" s="296" t="s">
        <v>975</v>
      </c>
      <c r="H550" s="296" t="s">
        <v>1265</v>
      </c>
      <c r="AG550" s="296" t="s">
        <v>2259</v>
      </c>
    </row>
    <row r="551" spans="1:33" hidden="1">
      <c r="A551" s="379">
        <f t="shared" si="31"/>
        <v>383</v>
      </c>
      <c r="B551" s="296" t="s">
        <v>952</v>
      </c>
      <c r="C551" s="252">
        <v>6.68</v>
      </c>
      <c r="D551" s="296" t="s">
        <v>868</v>
      </c>
      <c r="H551" s="296" t="s">
        <v>1266</v>
      </c>
      <c r="N551" s="296" t="s">
        <v>154</v>
      </c>
      <c r="O551" s="296" t="s">
        <v>1023</v>
      </c>
      <c r="AG551" s="296" t="s">
        <v>2259</v>
      </c>
    </row>
    <row r="552" spans="1:33" hidden="1">
      <c r="A552" s="379">
        <f t="shared" si="31"/>
        <v>384</v>
      </c>
      <c r="B552" s="296" t="s">
        <v>744</v>
      </c>
      <c r="C552" s="252">
        <v>9.4499999999999993</v>
      </c>
      <c r="D552" s="296" t="s">
        <v>868</v>
      </c>
      <c r="H552" s="296" t="s">
        <v>1024</v>
      </c>
      <c r="O552" s="358" t="s">
        <v>1586</v>
      </c>
      <c r="AG552" s="296" t="s">
        <v>2259</v>
      </c>
    </row>
    <row r="553" spans="1:33" hidden="1">
      <c r="A553" s="379">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379">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379">
        <f t="shared" si="31"/>
        <v>387</v>
      </c>
      <c r="B555" s="296" t="s">
        <v>1249</v>
      </c>
      <c r="C555" s="252">
        <v>33.04</v>
      </c>
      <c r="D555" s="296" t="s">
        <v>868</v>
      </c>
      <c r="H555" s="296" t="s">
        <v>6322</v>
      </c>
      <c r="M555" s="252">
        <v>30</v>
      </c>
      <c r="N555" s="296" t="s">
        <v>1771</v>
      </c>
      <c r="O555" s="296" t="s">
        <v>2158</v>
      </c>
      <c r="P555" s="252">
        <f>(C639)</f>
        <v>3</v>
      </c>
      <c r="Q555" s="296" t="s">
        <v>1771</v>
      </c>
      <c r="R555" s="252">
        <f>(M555*P555)</f>
        <v>90</v>
      </c>
      <c r="AG555" s="296" t="s">
        <v>321</v>
      </c>
    </row>
    <row r="556" spans="1:33" hidden="1">
      <c r="A556" s="379">
        <f t="shared" si="31"/>
        <v>388</v>
      </c>
      <c r="B556" s="296" t="s">
        <v>1250</v>
      </c>
      <c r="C556" s="252">
        <v>33.04</v>
      </c>
      <c r="D556" s="296" t="s">
        <v>868</v>
      </c>
      <c r="H556" s="358" t="s">
        <v>1586</v>
      </c>
      <c r="I556" s="358" t="s">
        <v>1586</v>
      </c>
      <c r="O556" s="296" t="s">
        <v>1251</v>
      </c>
    </row>
    <row r="557" spans="1:33" hidden="1">
      <c r="A557" s="379">
        <f t="shared" si="31"/>
        <v>389</v>
      </c>
      <c r="B557" s="296" t="s">
        <v>610</v>
      </c>
      <c r="C557" s="252">
        <v>538</v>
      </c>
      <c r="D557" s="296" t="s">
        <v>868</v>
      </c>
      <c r="G557" s="252" t="s">
        <v>689</v>
      </c>
      <c r="H557" s="296" t="s">
        <v>611</v>
      </c>
      <c r="O557" s="296" t="s">
        <v>2160</v>
      </c>
    </row>
    <row r="558" spans="1:33" hidden="1">
      <c r="A558" s="379">
        <f t="shared" si="31"/>
        <v>390</v>
      </c>
      <c r="B558" s="296" t="s">
        <v>2280</v>
      </c>
      <c r="C558" s="252">
        <v>340</v>
      </c>
      <c r="D558" s="296" t="s">
        <v>868</v>
      </c>
      <c r="H558" s="296" t="s">
        <v>2281</v>
      </c>
      <c r="O558" s="296" t="s">
        <v>2161</v>
      </c>
      <c r="AG558" s="296" t="s">
        <v>2259</v>
      </c>
    </row>
    <row r="559" spans="1:33" hidden="1">
      <c r="A559" s="379">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379">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379">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379">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379">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379">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379">
        <f>(A564+1)</f>
        <v>397</v>
      </c>
      <c r="B566" s="296" t="s">
        <v>917</v>
      </c>
      <c r="C566" s="252">
        <v>28.5</v>
      </c>
      <c r="D566" s="296" t="s">
        <v>868</v>
      </c>
      <c r="K566" s="358" t="s">
        <v>1586</v>
      </c>
      <c r="O566" s="296" t="s">
        <v>1544</v>
      </c>
      <c r="R566" s="252">
        <f>SUM(R553:R563)</f>
        <v>613.48</v>
      </c>
      <c r="AG566" s="296" t="s">
        <v>2259</v>
      </c>
    </row>
    <row r="567" spans="1:33" hidden="1">
      <c r="A567" s="379">
        <f>(A566+1)</f>
        <v>398</v>
      </c>
      <c r="B567" s="296" t="s">
        <v>502</v>
      </c>
      <c r="C567" s="252">
        <v>57.51</v>
      </c>
      <c r="D567" s="296" t="s">
        <v>868</v>
      </c>
      <c r="H567" s="253" t="s">
        <v>503</v>
      </c>
      <c r="K567" s="252">
        <f>K564/10</f>
        <v>263.5</v>
      </c>
      <c r="R567" s="358" t="s">
        <v>1586</v>
      </c>
      <c r="AG567" s="296" t="s">
        <v>2259</v>
      </c>
    </row>
    <row r="568" spans="1:33" hidden="1">
      <c r="A568" s="379">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379">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379">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379">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379"/>
      <c r="B572" s="296"/>
      <c r="D572" s="296"/>
      <c r="H572" s="296" t="s">
        <v>1364</v>
      </c>
      <c r="I572" s="252">
        <f>K571</f>
        <v>267.20999999999998</v>
      </c>
      <c r="J572" s="253">
        <f>C24*0.02</f>
        <v>1.06</v>
      </c>
      <c r="K572" s="252">
        <f>I572+J572</f>
        <v>268.27</v>
      </c>
      <c r="O572" s="358"/>
      <c r="AG572" s="296"/>
    </row>
    <row r="573" spans="1:33" hidden="1">
      <c r="A573" s="379">
        <f>(A571+1)</f>
        <v>403</v>
      </c>
      <c r="B573" s="296" t="s">
        <v>543</v>
      </c>
      <c r="C573" s="252">
        <v>21</v>
      </c>
      <c r="D573" s="296" t="s">
        <v>868</v>
      </c>
      <c r="F573" s="366">
        <v>15.2</v>
      </c>
      <c r="G573" s="252" t="s">
        <v>689</v>
      </c>
      <c r="H573" s="296" t="s">
        <v>786</v>
      </c>
      <c r="M573" s="252">
        <v>1.08</v>
      </c>
      <c r="N573" s="296" t="s">
        <v>869</v>
      </c>
      <c r="O573" s="296" t="s">
        <v>787</v>
      </c>
      <c r="P573" s="252">
        <f>(K88)</f>
        <v>52.93</v>
      </c>
      <c r="Q573" s="296" t="s">
        <v>869</v>
      </c>
      <c r="R573" s="252">
        <f>(M573*P573)</f>
        <v>57.16</v>
      </c>
      <c r="AG573" s="296" t="s">
        <v>2259</v>
      </c>
    </row>
    <row r="574" spans="1:33" hidden="1">
      <c r="A574" s="379">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379">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379">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379">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379">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379">
        <f t="shared" si="32"/>
        <v>409</v>
      </c>
      <c r="B579" s="296" t="s">
        <v>2913</v>
      </c>
      <c r="C579" s="375">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379">
        <f t="shared" si="32"/>
        <v>410</v>
      </c>
      <c r="B580" s="296" t="s">
        <v>2914</v>
      </c>
      <c r="C580" s="252">
        <v>325</v>
      </c>
      <c r="D580" s="296" t="s">
        <v>609</v>
      </c>
      <c r="E580" s="296" t="s">
        <v>975</v>
      </c>
      <c r="H580" s="296" t="s">
        <v>931</v>
      </c>
      <c r="K580" s="358" t="s">
        <v>1586</v>
      </c>
      <c r="R580" s="358" t="s">
        <v>1586</v>
      </c>
      <c r="AG580" s="296" t="s">
        <v>2259</v>
      </c>
    </row>
    <row r="581" spans="1:33" hidden="1">
      <c r="A581" s="379">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379">
        <f t="shared" si="32"/>
        <v>412</v>
      </c>
      <c r="B582" s="296" t="s">
        <v>1752</v>
      </c>
      <c r="C582" s="252">
        <v>125</v>
      </c>
      <c r="D582" s="296" t="s">
        <v>868</v>
      </c>
      <c r="K582" s="358" t="s">
        <v>1586</v>
      </c>
      <c r="R582" s="358" t="s">
        <v>1586</v>
      </c>
      <c r="AG582" s="296" t="s">
        <v>2259</v>
      </c>
    </row>
    <row r="583" spans="1:33" hidden="1">
      <c r="A583" s="379">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379">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379">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379">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379"/>
      <c r="B587" s="296"/>
      <c r="D587" s="296"/>
      <c r="H587" s="296" t="s">
        <v>1364</v>
      </c>
      <c r="I587" s="252">
        <f>K586</f>
        <v>546.64</v>
      </c>
      <c r="J587" s="253">
        <f>C24*0.04</f>
        <v>2.11</v>
      </c>
      <c r="K587" s="252">
        <f>(K586+C25*0.04)</f>
        <v>547.47</v>
      </c>
      <c r="N587" s="296"/>
      <c r="O587" s="296"/>
      <c r="Q587" s="296"/>
      <c r="AG587" s="296"/>
    </row>
    <row r="588" spans="1:33" hidden="1">
      <c r="A588" s="379">
        <f>(A586+1)</f>
        <v>417</v>
      </c>
      <c r="B588" s="296" t="s">
        <v>2916</v>
      </c>
      <c r="C588" s="252">
        <v>20</v>
      </c>
      <c r="D588" s="296" t="s">
        <v>1645</v>
      </c>
      <c r="F588" s="366">
        <v>15.1</v>
      </c>
      <c r="G588" s="252" t="s">
        <v>1757</v>
      </c>
      <c r="H588" s="296" t="s">
        <v>6094</v>
      </c>
      <c r="M588" s="356">
        <v>0.216</v>
      </c>
      <c r="N588" s="296" t="s">
        <v>869</v>
      </c>
      <c r="O588" s="296" t="s">
        <v>789</v>
      </c>
      <c r="P588" s="252" t="e">
        <f>(R60)</f>
        <v>#REF!</v>
      </c>
      <c r="Q588" s="296" t="s">
        <v>869</v>
      </c>
      <c r="R588" s="252" t="e">
        <f>(M588*P588)</f>
        <v>#REF!</v>
      </c>
      <c r="AG588" s="296" t="s">
        <v>2259</v>
      </c>
    </row>
    <row r="589" spans="1:33" hidden="1">
      <c r="A589" s="379">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379">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379">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379">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379">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379">
        <f t="shared" si="33"/>
        <v>423</v>
      </c>
      <c r="B594" s="296" t="s">
        <v>2917</v>
      </c>
      <c r="C594" s="252">
        <v>53</v>
      </c>
      <c r="D594" s="296" t="s">
        <v>769</v>
      </c>
      <c r="G594" s="252" t="s">
        <v>449</v>
      </c>
      <c r="H594" s="296" t="s">
        <v>59</v>
      </c>
      <c r="J594" s="253" t="s">
        <v>449</v>
      </c>
      <c r="K594" s="252">
        <v>0.33</v>
      </c>
      <c r="R594" s="358" t="s">
        <v>1586</v>
      </c>
      <c r="AG594" s="296" t="s">
        <v>2259</v>
      </c>
    </row>
    <row r="595" spans="1:33" hidden="1">
      <c r="A595" s="379">
        <f t="shared" si="33"/>
        <v>424</v>
      </c>
      <c r="B595" s="296" t="s">
        <v>306</v>
      </c>
      <c r="C595" s="252">
        <v>1050</v>
      </c>
      <c r="D595" s="296" t="s">
        <v>769</v>
      </c>
      <c r="H595" s="296" t="s">
        <v>931</v>
      </c>
      <c r="K595" s="358" t="s">
        <v>1586</v>
      </c>
      <c r="O595" s="296" t="s">
        <v>1751</v>
      </c>
      <c r="R595" s="252" t="e">
        <f>SUM(R586:R593)</f>
        <v>#REF!</v>
      </c>
      <c r="AG595" s="296" t="s">
        <v>2259</v>
      </c>
    </row>
    <row r="596" spans="1:33" hidden="1">
      <c r="A596" s="379">
        <f t="shared" si="33"/>
        <v>425</v>
      </c>
      <c r="B596" s="296" t="s">
        <v>406</v>
      </c>
      <c r="C596" s="252">
        <v>196</v>
      </c>
      <c r="D596" s="296" t="s">
        <v>769</v>
      </c>
      <c r="H596" s="253" t="s">
        <v>407</v>
      </c>
      <c r="K596" s="252" t="e">
        <f>SUM(K590:K594)</f>
        <v>#REF!</v>
      </c>
      <c r="R596" s="358" t="s">
        <v>1586</v>
      </c>
      <c r="AG596" s="296" t="s">
        <v>2259</v>
      </c>
    </row>
    <row r="597" spans="1:33" hidden="1">
      <c r="A597" s="379">
        <f t="shared" si="33"/>
        <v>426</v>
      </c>
      <c r="B597" s="296" t="s">
        <v>408</v>
      </c>
      <c r="C597" s="252">
        <v>206.9</v>
      </c>
      <c r="D597" s="296" t="s">
        <v>769</v>
      </c>
      <c r="K597" s="358" t="s">
        <v>1586</v>
      </c>
      <c r="N597" s="296" t="s">
        <v>2251</v>
      </c>
      <c r="O597" s="296" t="s">
        <v>409</v>
      </c>
      <c r="AG597" s="296" t="s">
        <v>2259</v>
      </c>
    </row>
    <row r="598" spans="1:33" hidden="1">
      <c r="A598" s="379">
        <f t="shared" si="33"/>
        <v>427</v>
      </c>
      <c r="B598" s="296" t="s">
        <v>410</v>
      </c>
      <c r="C598" s="252">
        <v>120</v>
      </c>
      <c r="D598" s="296" t="s">
        <v>1771</v>
      </c>
      <c r="H598" s="253" t="s">
        <v>411</v>
      </c>
      <c r="K598" s="252" t="e">
        <f>K596/10</f>
        <v>#REF!</v>
      </c>
      <c r="O598" s="296" t="s">
        <v>412</v>
      </c>
      <c r="AG598" s="296" t="s">
        <v>2259</v>
      </c>
    </row>
    <row r="599" spans="1:33" hidden="1">
      <c r="A599" s="379">
        <f t="shared" si="33"/>
        <v>428</v>
      </c>
      <c r="B599" s="296" t="s">
        <v>413</v>
      </c>
      <c r="C599" s="252">
        <v>80</v>
      </c>
      <c r="D599" s="296" t="s">
        <v>1771</v>
      </c>
      <c r="H599" s="296" t="s">
        <v>386</v>
      </c>
      <c r="K599" s="252" t="e">
        <f>(K598+C22*0.02)</f>
        <v>#REF!</v>
      </c>
      <c r="O599" s="358" t="s">
        <v>1586</v>
      </c>
      <c r="AG599" s="296" t="s">
        <v>2259</v>
      </c>
    </row>
    <row r="600" spans="1:33" hidden="1">
      <c r="A600" s="379">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379">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379">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379">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379">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379">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379">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379">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379">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379">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379">
        <f t="shared" si="33"/>
        <v>439</v>
      </c>
      <c r="B610" s="296" t="s">
        <v>129</v>
      </c>
      <c r="C610" s="252">
        <v>121.88</v>
      </c>
      <c r="D610" s="296" t="s">
        <v>868</v>
      </c>
      <c r="H610" s="296" t="s">
        <v>130</v>
      </c>
      <c r="N610" s="296" t="s">
        <v>449</v>
      </c>
      <c r="O610" s="296" t="s">
        <v>340</v>
      </c>
      <c r="Q610" s="296" t="s">
        <v>449</v>
      </c>
      <c r="R610" s="252">
        <v>1.5</v>
      </c>
      <c r="AG610" s="296" t="s">
        <v>2259</v>
      </c>
    </row>
    <row r="611" spans="1:33" hidden="1">
      <c r="A611" s="379">
        <f t="shared" si="33"/>
        <v>440</v>
      </c>
      <c r="B611" s="296" t="s">
        <v>1484</v>
      </c>
      <c r="C611" s="252">
        <v>66</v>
      </c>
      <c r="D611" s="296" t="s">
        <v>868</v>
      </c>
      <c r="K611" s="358" t="s">
        <v>1586</v>
      </c>
      <c r="R611" s="358" t="s">
        <v>1586</v>
      </c>
      <c r="AG611" s="296" t="s">
        <v>2259</v>
      </c>
    </row>
    <row r="612" spans="1:33" hidden="1">
      <c r="A612" s="379">
        <f t="shared" si="33"/>
        <v>441</v>
      </c>
      <c r="B612" s="296" t="s">
        <v>1485</v>
      </c>
      <c r="D612" s="296" t="s">
        <v>868</v>
      </c>
      <c r="H612" s="296" t="s">
        <v>1486</v>
      </c>
      <c r="K612" s="252" t="e">
        <f>SUM(K608:K610)</f>
        <v>#REF!</v>
      </c>
      <c r="O612" s="296" t="s">
        <v>1751</v>
      </c>
      <c r="R612" s="252" t="e">
        <f>SUM(R600:R610)</f>
        <v>#REF!</v>
      </c>
      <c r="AG612" s="296" t="s">
        <v>321</v>
      </c>
    </row>
    <row r="613" spans="1:33" hidden="1">
      <c r="A613" s="379">
        <f t="shared" si="33"/>
        <v>442</v>
      </c>
      <c r="B613" s="296" t="s">
        <v>434</v>
      </c>
      <c r="C613" s="252">
        <v>149.16</v>
      </c>
      <c r="D613" s="296" t="s">
        <v>868</v>
      </c>
      <c r="K613" s="358" t="s">
        <v>1586</v>
      </c>
      <c r="R613" s="358" t="s">
        <v>1586</v>
      </c>
    </row>
    <row r="614" spans="1:33" hidden="1">
      <c r="A614" s="379">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379">
        <f>(A614+1)</f>
        <v>444</v>
      </c>
      <c r="B616" s="296" t="s">
        <v>1099</v>
      </c>
      <c r="D616" s="296" t="s">
        <v>868</v>
      </c>
      <c r="K616" s="358" t="s">
        <v>2055</v>
      </c>
      <c r="O616" s="296" t="s">
        <v>1100</v>
      </c>
      <c r="AG616" s="296" t="s">
        <v>2259</v>
      </c>
    </row>
    <row r="617" spans="1:33" hidden="1">
      <c r="A617" s="379">
        <f t="shared" ref="A617:A648" si="35">(A616+1)</f>
        <v>445</v>
      </c>
      <c r="B617" s="296" t="s">
        <v>989</v>
      </c>
      <c r="C617" s="252">
        <v>195.36</v>
      </c>
      <c r="D617" s="296" t="s">
        <v>868</v>
      </c>
      <c r="G617" s="252" t="s">
        <v>675</v>
      </c>
      <c r="H617" s="296" t="s">
        <v>990</v>
      </c>
      <c r="O617" s="358" t="s">
        <v>1586</v>
      </c>
      <c r="AG617" s="296" t="s">
        <v>2259</v>
      </c>
    </row>
    <row r="618" spans="1:33" hidden="1">
      <c r="A618" s="379">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379">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379">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379">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379">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379">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379">
        <f t="shared" si="35"/>
        <v>452</v>
      </c>
      <c r="B624" s="296" t="s">
        <v>1635</v>
      </c>
      <c r="C624" s="252">
        <v>70</v>
      </c>
      <c r="D624" s="296" t="s">
        <v>868</v>
      </c>
      <c r="G624" s="252" t="s">
        <v>449</v>
      </c>
      <c r="H624" s="296" t="s">
        <v>450</v>
      </c>
      <c r="J624" s="253" t="s">
        <v>449</v>
      </c>
      <c r="K624" s="252">
        <v>0</v>
      </c>
      <c r="R624" s="358" t="s">
        <v>1586</v>
      </c>
      <c r="AG624" s="296" t="s">
        <v>2259</v>
      </c>
    </row>
    <row r="625" spans="1:33" hidden="1">
      <c r="A625" s="379">
        <f t="shared" si="35"/>
        <v>453</v>
      </c>
      <c r="B625" s="296" t="s">
        <v>1636</v>
      </c>
      <c r="D625" s="296" t="s">
        <v>868</v>
      </c>
      <c r="K625" s="358" t="s">
        <v>1586</v>
      </c>
      <c r="AG625" s="296" t="s">
        <v>2259</v>
      </c>
    </row>
    <row r="626" spans="1:33" hidden="1">
      <c r="A626" s="379">
        <f t="shared" si="35"/>
        <v>454</v>
      </c>
      <c r="B626" s="296" t="s">
        <v>101</v>
      </c>
      <c r="C626" s="252">
        <v>12</v>
      </c>
      <c r="D626" s="296" t="s">
        <v>868</v>
      </c>
      <c r="H626" s="296" t="s">
        <v>102</v>
      </c>
      <c r="K626" s="252" t="e">
        <f>SUM(K620:K624)</f>
        <v>#REF!</v>
      </c>
      <c r="N626" s="296" t="s">
        <v>2251</v>
      </c>
      <c r="O626" s="296" t="s">
        <v>61</v>
      </c>
      <c r="AG626" s="296" t="s">
        <v>2259</v>
      </c>
    </row>
    <row r="627" spans="1:33" hidden="1">
      <c r="A627" s="379">
        <f t="shared" si="35"/>
        <v>455</v>
      </c>
      <c r="B627" s="296" t="s">
        <v>1960</v>
      </c>
      <c r="C627" s="252">
        <v>7.5</v>
      </c>
      <c r="D627" s="296" t="s">
        <v>868</v>
      </c>
      <c r="K627" s="358" t="s">
        <v>1586</v>
      </c>
      <c r="O627" s="296" t="s">
        <v>1961</v>
      </c>
      <c r="AG627" s="296" t="s">
        <v>2259</v>
      </c>
    </row>
    <row r="628" spans="1:33" hidden="1">
      <c r="A628" s="379">
        <f t="shared" si="35"/>
        <v>456</v>
      </c>
      <c r="B628" s="296" t="s">
        <v>1962</v>
      </c>
      <c r="D628" s="296" t="s">
        <v>868</v>
      </c>
      <c r="H628" s="296" t="s">
        <v>552</v>
      </c>
      <c r="K628" s="252" t="e">
        <f>(K626/0.372)</f>
        <v>#REF!</v>
      </c>
      <c r="O628" s="296" t="s">
        <v>1963</v>
      </c>
      <c r="AG628" s="296" t="s">
        <v>2259</v>
      </c>
    </row>
    <row r="629" spans="1:33" hidden="1">
      <c r="A629" s="379">
        <f t="shared" si="35"/>
        <v>457</v>
      </c>
      <c r="B629" s="296" t="s">
        <v>1964</v>
      </c>
      <c r="C629" s="252">
        <v>155.32</v>
      </c>
      <c r="D629" s="296" t="s">
        <v>868</v>
      </c>
      <c r="K629" s="358" t="s">
        <v>2055</v>
      </c>
      <c r="O629" s="358" t="s">
        <v>1586</v>
      </c>
      <c r="AG629" s="296" t="s">
        <v>2259</v>
      </c>
    </row>
    <row r="630" spans="1:33" hidden="1">
      <c r="A630" s="379">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379">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379">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379">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379">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379">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379">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379">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379">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379">
        <f t="shared" si="35"/>
        <v>467</v>
      </c>
      <c r="B639" s="630" t="s">
        <v>1914</v>
      </c>
      <c r="C639" s="252">
        <v>3</v>
      </c>
      <c r="D639" s="296" t="s">
        <v>1771</v>
      </c>
      <c r="E639" s="252">
        <v>5</v>
      </c>
      <c r="H639" s="296" t="s">
        <v>170</v>
      </c>
      <c r="N639" s="296" t="s">
        <v>449</v>
      </c>
      <c r="O639" s="296" t="s">
        <v>340</v>
      </c>
      <c r="Q639" s="296" t="s">
        <v>449</v>
      </c>
      <c r="R639" s="252">
        <v>1.6</v>
      </c>
      <c r="AG639" s="296" t="s">
        <v>2259</v>
      </c>
    </row>
    <row r="640" spans="1:33" hidden="1">
      <c r="A640" s="379">
        <f t="shared" si="35"/>
        <v>468</v>
      </c>
      <c r="B640" s="630" t="s">
        <v>171</v>
      </c>
      <c r="C640" s="252">
        <v>2.2000000000000002</v>
      </c>
      <c r="D640" s="296" t="s">
        <v>1771</v>
      </c>
      <c r="H640" s="296" t="s">
        <v>172</v>
      </c>
      <c r="R640" s="296" t="s">
        <v>975</v>
      </c>
      <c r="AG640" s="296" t="s">
        <v>2259</v>
      </c>
    </row>
    <row r="641" spans="1:33" hidden="1">
      <c r="A641" s="379">
        <f t="shared" si="35"/>
        <v>469</v>
      </c>
      <c r="B641" s="296" t="s">
        <v>2923</v>
      </c>
      <c r="C641" s="252">
        <v>2.2000000000000002</v>
      </c>
      <c r="D641" s="296">
        <v>2.7</v>
      </c>
      <c r="E641" s="252">
        <v>2</v>
      </c>
      <c r="H641" s="296" t="s">
        <v>173</v>
      </c>
      <c r="R641" s="358" t="s">
        <v>1586</v>
      </c>
      <c r="AG641" s="296" t="s">
        <v>2259</v>
      </c>
    </row>
    <row r="642" spans="1:33" hidden="1">
      <c r="A642" s="379">
        <f t="shared" si="35"/>
        <v>470</v>
      </c>
      <c r="B642" s="296" t="s">
        <v>174</v>
      </c>
      <c r="C642" s="252">
        <v>3.2</v>
      </c>
      <c r="D642" s="252">
        <v>3.2</v>
      </c>
      <c r="H642" s="358" t="s">
        <v>1586</v>
      </c>
      <c r="I642" s="358" t="s">
        <v>1586</v>
      </c>
      <c r="O642" s="296" t="s">
        <v>1751</v>
      </c>
      <c r="R642" s="252" t="e">
        <f>SUM(R630:R640)</f>
        <v>#REF!</v>
      </c>
      <c r="AG642" s="296" t="s">
        <v>2259</v>
      </c>
    </row>
    <row r="643" spans="1:33" hidden="1">
      <c r="A643" s="379">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379">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379">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379">
        <f t="shared" si="35"/>
        <v>474</v>
      </c>
      <c r="B646" s="296" t="s">
        <v>1601</v>
      </c>
      <c r="C646" s="252">
        <v>75</v>
      </c>
      <c r="D646" s="296" t="s">
        <v>868</v>
      </c>
      <c r="K646" s="358" t="s">
        <v>1586</v>
      </c>
      <c r="O646" s="296" t="s">
        <v>1602</v>
      </c>
      <c r="AG646" s="296" t="s">
        <v>2259</v>
      </c>
    </row>
    <row r="647" spans="1:33" hidden="1">
      <c r="A647" s="379">
        <f t="shared" si="35"/>
        <v>475</v>
      </c>
      <c r="B647" s="296" t="s">
        <v>1603</v>
      </c>
      <c r="C647" s="252">
        <v>6.4</v>
      </c>
      <c r="D647" s="252">
        <v>12.65</v>
      </c>
      <c r="E647" s="252">
        <v>3</v>
      </c>
      <c r="H647" s="296" t="s">
        <v>552</v>
      </c>
      <c r="K647" s="252">
        <f>SUM(K641:K645)</f>
        <v>275</v>
      </c>
      <c r="O647" s="358" t="s">
        <v>1586</v>
      </c>
      <c r="AG647" s="296" t="s">
        <v>2259</v>
      </c>
    </row>
    <row r="648" spans="1:33" hidden="1">
      <c r="A648" s="379">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379">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379">
        <f t="shared" si="37"/>
        <v>478</v>
      </c>
      <c r="B650" s="296" t="s">
        <v>137</v>
      </c>
      <c r="C650" s="252">
        <v>40.5</v>
      </c>
      <c r="D650" s="296" t="s">
        <v>868</v>
      </c>
      <c r="H650" s="296" t="s">
        <v>388</v>
      </c>
      <c r="K650" s="252">
        <f>(K649+C20*0.05)</f>
        <v>277.64</v>
      </c>
      <c r="O650" s="296" t="s">
        <v>138</v>
      </c>
      <c r="R650" s="296" t="s">
        <v>975</v>
      </c>
      <c r="AG650" s="296" t="s">
        <v>2259</v>
      </c>
    </row>
    <row r="651" spans="1:33" hidden="1">
      <c r="A651" s="379">
        <f t="shared" si="37"/>
        <v>479</v>
      </c>
      <c r="B651" s="296" t="s">
        <v>1461</v>
      </c>
      <c r="C651" s="252">
        <v>92</v>
      </c>
      <c r="D651" s="296" t="s">
        <v>868</v>
      </c>
      <c r="H651" s="296" t="s">
        <v>2232</v>
      </c>
      <c r="K651" s="252">
        <f>(K650+C21*0.05)</f>
        <v>279.39999999999998</v>
      </c>
      <c r="R651" s="358" t="s">
        <v>1586</v>
      </c>
      <c r="AG651" s="296" t="s">
        <v>2259</v>
      </c>
    </row>
    <row r="652" spans="1:33" hidden="1">
      <c r="A652" s="379">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379">
        <f t="shared" si="37"/>
        <v>481</v>
      </c>
      <c r="B653" s="296" t="s">
        <v>1363</v>
      </c>
      <c r="C653" s="252">
        <v>49.87</v>
      </c>
      <c r="D653" s="296" t="s">
        <v>868</v>
      </c>
      <c r="H653" s="296" t="s">
        <v>1364</v>
      </c>
      <c r="K653" s="252">
        <f>(K652+C21*0.05)</f>
        <v>282.92</v>
      </c>
      <c r="R653" s="358" t="s">
        <v>1586</v>
      </c>
      <c r="AG653" s="296" t="s">
        <v>2259</v>
      </c>
    </row>
    <row r="654" spans="1:33" hidden="1">
      <c r="A654" s="379">
        <f t="shared" si="37"/>
        <v>482</v>
      </c>
      <c r="B654" s="296" t="s">
        <v>1815</v>
      </c>
      <c r="C654" s="252">
        <v>80</v>
      </c>
      <c r="D654" s="296" t="s">
        <v>868</v>
      </c>
      <c r="F654" s="253" t="s">
        <v>1816</v>
      </c>
      <c r="H654" s="296" t="s">
        <v>759</v>
      </c>
      <c r="AG654" s="296" t="s">
        <v>2259</v>
      </c>
    </row>
    <row r="655" spans="1:33" hidden="1">
      <c r="A655" s="379">
        <f t="shared" si="37"/>
        <v>483</v>
      </c>
      <c r="B655" s="296" t="s">
        <v>1817</v>
      </c>
      <c r="C655" s="252">
        <v>52</v>
      </c>
      <c r="D655" s="296" t="s">
        <v>868</v>
      </c>
      <c r="H655" s="296" t="s">
        <v>1818</v>
      </c>
      <c r="N655" s="296" t="s">
        <v>2251</v>
      </c>
      <c r="O655" s="296" t="s">
        <v>894</v>
      </c>
      <c r="AG655" s="296" t="s">
        <v>2259</v>
      </c>
    </row>
    <row r="656" spans="1:33" hidden="1">
      <c r="A656" s="379">
        <f t="shared" si="37"/>
        <v>484</v>
      </c>
      <c r="B656" s="296" t="s">
        <v>1182</v>
      </c>
      <c r="C656" s="252">
        <v>39</v>
      </c>
      <c r="D656" s="296" t="s">
        <v>868</v>
      </c>
      <c r="H656" s="296" t="s">
        <v>334</v>
      </c>
      <c r="O656" s="296" t="s">
        <v>1602</v>
      </c>
      <c r="AG656" s="296" t="s">
        <v>2259</v>
      </c>
    </row>
    <row r="657" spans="1:33" hidden="1">
      <c r="A657" s="379">
        <f t="shared" si="37"/>
        <v>485</v>
      </c>
      <c r="B657" s="296" t="s">
        <v>1253</v>
      </c>
      <c r="C657" s="252">
        <v>90</v>
      </c>
      <c r="D657" s="296" t="s">
        <v>868</v>
      </c>
      <c r="H657" s="296" t="s">
        <v>1503</v>
      </c>
      <c r="O657" s="358" t="s">
        <v>1586</v>
      </c>
      <c r="AG657" s="296" t="s">
        <v>2259</v>
      </c>
    </row>
    <row r="658" spans="1:33" hidden="1">
      <c r="A658" s="379">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379">
        <f t="shared" si="37"/>
        <v>487</v>
      </c>
      <c r="B659" s="296" t="s">
        <v>1085</v>
      </c>
      <c r="C659" s="252">
        <v>43.5</v>
      </c>
      <c r="D659" s="296" t="s">
        <v>868</v>
      </c>
      <c r="H659" s="296" t="s">
        <v>172</v>
      </c>
      <c r="N659" s="296" t="s">
        <v>449</v>
      </c>
      <c r="O659" s="296" t="s">
        <v>136</v>
      </c>
      <c r="Q659" s="296" t="s">
        <v>449</v>
      </c>
      <c r="R659" s="252">
        <v>2.09</v>
      </c>
      <c r="AG659" s="296" t="s">
        <v>2259</v>
      </c>
    </row>
    <row r="660" spans="1:33" hidden="1">
      <c r="A660" s="379">
        <f t="shared" si="37"/>
        <v>488</v>
      </c>
      <c r="B660" s="296" t="s">
        <v>247</v>
      </c>
      <c r="C660" s="252">
        <v>75</v>
      </c>
      <c r="D660" s="296" t="s">
        <v>868</v>
      </c>
      <c r="H660" s="296" t="s">
        <v>2070</v>
      </c>
      <c r="O660" s="296" t="s">
        <v>138</v>
      </c>
      <c r="R660" s="296" t="s">
        <v>975</v>
      </c>
      <c r="AG660" s="296" t="s">
        <v>2259</v>
      </c>
    </row>
    <row r="661" spans="1:33" hidden="1">
      <c r="A661" s="379">
        <f t="shared" si="37"/>
        <v>489</v>
      </c>
      <c r="B661" s="296" t="s">
        <v>2025</v>
      </c>
      <c r="C661" s="252">
        <v>52</v>
      </c>
      <c r="D661" s="296" t="s">
        <v>868</v>
      </c>
      <c r="H661" s="358" t="s">
        <v>1586</v>
      </c>
      <c r="I661" s="358" t="s">
        <v>1586</v>
      </c>
      <c r="R661" s="358" t="s">
        <v>1586</v>
      </c>
      <c r="AG661" s="296" t="s">
        <v>2259</v>
      </c>
    </row>
    <row r="662" spans="1:33" hidden="1">
      <c r="A662" s="379">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379">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379">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379">
        <f t="shared" si="37"/>
        <v>493</v>
      </c>
      <c r="B665" s="296" t="s">
        <v>929</v>
      </c>
      <c r="C665" s="252">
        <v>16</v>
      </c>
      <c r="D665" s="296" t="s">
        <v>868</v>
      </c>
      <c r="H665" s="296" t="s">
        <v>450</v>
      </c>
      <c r="J665" s="253" t="s">
        <v>449</v>
      </c>
      <c r="K665" s="252">
        <v>0</v>
      </c>
      <c r="N665" s="296" t="s">
        <v>2251</v>
      </c>
      <c r="O665" s="296" t="s">
        <v>481</v>
      </c>
      <c r="AG665" s="296" t="s">
        <v>2259</v>
      </c>
    </row>
    <row r="666" spans="1:33" hidden="1">
      <c r="A666" s="379">
        <f t="shared" si="37"/>
        <v>494</v>
      </c>
      <c r="B666" s="296" t="s">
        <v>482</v>
      </c>
      <c r="C666" s="252">
        <v>18</v>
      </c>
      <c r="D666" s="296" t="s">
        <v>868</v>
      </c>
      <c r="K666" s="358" t="s">
        <v>1586</v>
      </c>
      <c r="O666" s="296" t="s">
        <v>1602</v>
      </c>
      <c r="AG666" s="296" t="s">
        <v>2259</v>
      </c>
    </row>
    <row r="667" spans="1:33" hidden="1">
      <c r="A667" s="379">
        <f t="shared" si="37"/>
        <v>495</v>
      </c>
      <c r="B667" s="296" t="s">
        <v>483</v>
      </c>
      <c r="C667" s="252">
        <v>6</v>
      </c>
      <c r="D667" s="296" t="s">
        <v>868</v>
      </c>
      <c r="H667" s="296" t="s">
        <v>552</v>
      </c>
      <c r="K667" s="252">
        <f>SUM(K662:K665)</f>
        <v>549.62</v>
      </c>
      <c r="O667" s="358" t="s">
        <v>1586</v>
      </c>
      <c r="AG667" s="296" t="s">
        <v>2259</v>
      </c>
    </row>
    <row r="668" spans="1:33" hidden="1">
      <c r="A668" s="379">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379">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379">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379">
        <f t="shared" si="37"/>
        <v>499</v>
      </c>
      <c r="B671" s="296" t="s">
        <v>549</v>
      </c>
      <c r="C671" s="252">
        <v>297.44</v>
      </c>
      <c r="D671" s="296" t="s">
        <v>868</v>
      </c>
      <c r="H671" s="296" t="s">
        <v>2232</v>
      </c>
      <c r="K671" s="252">
        <f>(K670+C21*0.11)</f>
        <v>559.29999999999995</v>
      </c>
      <c r="R671" s="358" t="s">
        <v>1586</v>
      </c>
      <c r="AG671" s="296" t="s">
        <v>321</v>
      </c>
    </row>
    <row r="672" spans="1:33" hidden="1">
      <c r="A672" s="379">
        <f t="shared" si="37"/>
        <v>500</v>
      </c>
      <c r="B672" s="296" t="s">
        <v>550</v>
      </c>
      <c r="C672" s="252">
        <v>28.6</v>
      </c>
      <c r="D672" s="296" t="s">
        <v>868</v>
      </c>
      <c r="H672" s="296" t="s">
        <v>380</v>
      </c>
      <c r="K672" s="252">
        <f>(K671+C21*0.11)</f>
        <v>563.16999999999996</v>
      </c>
      <c r="O672" s="296" t="s">
        <v>1565</v>
      </c>
      <c r="R672" s="252">
        <f>SUM(R668:R670)</f>
        <v>21.39</v>
      </c>
    </row>
    <row r="673" spans="1:33" hidden="1">
      <c r="A673" s="379">
        <f t="shared" si="37"/>
        <v>501</v>
      </c>
      <c r="B673" s="296" t="s">
        <v>186</v>
      </c>
      <c r="C673" s="252">
        <v>228.86</v>
      </c>
      <c r="D673" s="296" t="s">
        <v>868</v>
      </c>
      <c r="H673" s="296" t="s">
        <v>1364</v>
      </c>
      <c r="K673" s="252">
        <f>(K672+C21*0.11)</f>
        <v>567.04</v>
      </c>
      <c r="R673" s="358" t="s">
        <v>1586</v>
      </c>
    </row>
    <row r="674" spans="1:33" hidden="1">
      <c r="F674" s="296" t="s">
        <v>975</v>
      </c>
    </row>
    <row r="675" spans="1:33" hidden="1">
      <c r="A675" s="379">
        <f>(A673+1)</f>
        <v>502</v>
      </c>
      <c r="B675" s="296" t="s">
        <v>187</v>
      </c>
      <c r="C675" s="252">
        <v>70.47</v>
      </c>
      <c r="D675" s="296" t="s">
        <v>868</v>
      </c>
      <c r="AG675" s="296" t="s">
        <v>2259</v>
      </c>
    </row>
    <row r="676" spans="1:33" hidden="1">
      <c r="A676" s="379">
        <f t="shared" ref="A676:A707" si="38">(A675+1)</f>
        <v>503</v>
      </c>
      <c r="B676" s="296" t="s">
        <v>188</v>
      </c>
      <c r="C676" s="252">
        <v>133.62</v>
      </c>
      <c r="D676" s="296" t="s">
        <v>868</v>
      </c>
      <c r="F676" s="253" t="s">
        <v>1355</v>
      </c>
      <c r="H676" s="296" t="s">
        <v>189</v>
      </c>
      <c r="N676" s="296" t="s">
        <v>2251</v>
      </c>
      <c r="O676" s="296" t="s">
        <v>1452</v>
      </c>
      <c r="AG676" s="296" t="s">
        <v>2259</v>
      </c>
    </row>
    <row r="677" spans="1:33" hidden="1">
      <c r="A677" s="379">
        <f t="shared" si="38"/>
        <v>504</v>
      </c>
      <c r="B677" s="296" t="s">
        <v>1453</v>
      </c>
      <c r="C677" s="252">
        <v>133.62</v>
      </c>
      <c r="D677" s="296" t="s">
        <v>868</v>
      </c>
      <c r="H677" s="296" t="s">
        <v>1454</v>
      </c>
      <c r="O677" s="296" t="s">
        <v>1455</v>
      </c>
      <c r="AG677" s="296" t="s">
        <v>2259</v>
      </c>
    </row>
    <row r="678" spans="1:33" hidden="1">
      <c r="A678" s="379">
        <f t="shared" si="38"/>
        <v>505</v>
      </c>
      <c r="B678" s="296" t="s">
        <v>1456</v>
      </c>
      <c r="C678" s="252">
        <v>215</v>
      </c>
      <c r="D678" s="296" t="s">
        <v>868</v>
      </c>
      <c r="H678" s="296" t="s">
        <v>1457</v>
      </c>
      <c r="O678" s="358" t="s">
        <v>1586</v>
      </c>
      <c r="AG678" s="296" t="s">
        <v>2259</v>
      </c>
    </row>
    <row r="679" spans="1:33" hidden="1">
      <c r="A679" s="379">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379">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379">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379">
        <f t="shared" si="38"/>
        <v>509</v>
      </c>
      <c r="B682" s="296" t="s">
        <v>2117</v>
      </c>
      <c r="C682" s="252">
        <v>11.55</v>
      </c>
      <c r="D682" s="296" t="s">
        <v>868</v>
      </c>
      <c r="H682" s="296" t="s">
        <v>2118</v>
      </c>
      <c r="I682" s="296" t="s">
        <v>975</v>
      </c>
      <c r="K682" s="296" t="s">
        <v>975</v>
      </c>
      <c r="R682" s="358" t="s">
        <v>1586</v>
      </c>
      <c r="AG682" s="296" t="s">
        <v>2259</v>
      </c>
    </row>
    <row r="683" spans="1:33" hidden="1">
      <c r="A683" s="379">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379">
        <f t="shared" si="38"/>
        <v>511</v>
      </c>
      <c r="B684" s="296" t="s">
        <v>1117</v>
      </c>
      <c r="C684" s="252">
        <v>27.85</v>
      </c>
      <c r="D684" s="296" t="s">
        <v>868</v>
      </c>
      <c r="H684" s="296" t="s">
        <v>311</v>
      </c>
      <c r="I684" s="296" t="s">
        <v>975</v>
      </c>
      <c r="K684" s="296" t="s">
        <v>249</v>
      </c>
      <c r="R684" s="358" t="s">
        <v>1586</v>
      </c>
      <c r="AG684" s="296" t="s">
        <v>2259</v>
      </c>
    </row>
    <row r="685" spans="1:33" hidden="1">
      <c r="A685" s="379">
        <f t="shared" si="38"/>
        <v>512</v>
      </c>
      <c r="B685" s="296" t="s">
        <v>1118</v>
      </c>
      <c r="C685" s="252">
        <v>49.9</v>
      </c>
      <c r="D685" s="296" t="s">
        <v>868</v>
      </c>
      <c r="K685" s="358" t="s">
        <v>1586</v>
      </c>
      <c r="O685" s="253" t="s">
        <v>662</v>
      </c>
      <c r="R685" s="296" t="s">
        <v>975</v>
      </c>
      <c r="AG685" s="296" t="s">
        <v>2259</v>
      </c>
    </row>
    <row r="686" spans="1:33" hidden="1">
      <c r="A686" s="379">
        <f t="shared" si="38"/>
        <v>513</v>
      </c>
      <c r="B686" s="296" t="s">
        <v>1120</v>
      </c>
      <c r="C686" s="252">
        <v>69.25</v>
      </c>
      <c r="D686" s="296" t="s">
        <v>868</v>
      </c>
      <c r="H686" s="296" t="s">
        <v>663</v>
      </c>
      <c r="K686" s="252">
        <f>SUM(K680:K684)</f>
        <v>6886.9</v>
      </c>
      <c r="M686" s="316"/>
      <c r="O686" s="253" t="s">
        <v>2084</v>
      </c>
      <c r="AG686" s="296" t="s">
        <v>2259</v>
      </c>
    </row>
    <row r="687" spans="1:33" hidden="1">
      <c r="A687" s="379">
        <f t="shared" si="38"/>
        <v>514</v>
      </c>
      <c r="B687" s="296" t="s">
        <v>1906</v>
      </c>
      <c r="D687" s="296" t="s">
        <v>975</v>
      </c>
      <c r="H687" s="296" t="s">
        <v>975</v>
      </c>
      <c r="K687" s="358" t="s">
        <v>1586</v>
      </c>
      <c r="M687" s="253" t="s">
        <v>1539</v>
      </c>
      <c r="N687" s="296" t="s">
        <v>1907</v>
      </c>
      <c r="O687" s="296" t="s">
        <v>2924</v>
      </c>
      <c r="AG687" s="296" t="s">
        <v>2259</v>
      </c>
    </row>
    <row r="688" spans="1:33" hidden="1">
      <c r="A688" s="379">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379">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379">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379">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379">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379">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379">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379">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379">
        <f t="shared" si="38"/>
        <v>523</v>
      </c>
      <c r="B696" s="296" t="s">
        <v>1717</v>
      </c>
      <c r="C696" s="252">
        <v>147.6</v>
      </c>
      <c r="D696" s="296" t="s">
        <v>1771</v>
      </c>
      <c r="K696" s="358" t="s">
        <v>2055</v>
      </c>
      <c r="N696" s="296" t="s">
        <v>449</v>
      </c>
      <c r="O696" s="296" t="s">
        <v>450</v>
      </c>
      <c r="Q696" s="296" t="s">
        <v>449</v>
      </c>
      <c r="R696" s="252">
        <v>0</v>
      </c>
      <c r="AG696" s="296" t="s">
        <v>2259</v>
      </c>
    </row>
    <row r="697" spans="1:33" hidden="1">
      <c r="A697" s="379">
        <f t="shared" si="38"/>
        <v>524</v>
      </c>
      <c r="B697" s="296" t="s">
        <v>1718</v>
      </c>
      <c r="C697" s="252">
        <v>147.6</v>
      </c>
      <c r="D697" s="296" t="s">
        <v>1771</v>
      </c>
      <c r="R697" s="358" t="s">
        <v>1586</v>
      </c>
      <c r="AG697" s="296" t="s">
        <v>2259</v>
      </c>
    </row>
    <row r="698" spans="1:33" hidden="1">
      <c r="A698" s="379">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379">
        <f t="shared" si="38"/>
        <v>526</v>
      </c>
      <c r="B699" s="296" t="s">
        <v>648</v>
      </c>
      <c r="C699" s="252">
        <v>1250</v>
      </c>
      <c r="D699" s="296" t="s">
        <v>609</v>
      </c>
      <c r="H699" s="296" t="s">
        <v>649</v>
      </c>
      <c r="R699" s="358" t="s">
        <v>1586</v>
      </c>
      <c r="AG699" s="296" t="s">
        <v>2259</v>
      </c>
    </row>
    <row r="700" spans="1:33" hidden="1">
      <c r="A700" s="379">
        <f t="shared" si="38"/>
        <v>527</v>
      </c>
      <c r="B700" s="296" t="s">
        <v>650</v>
      </c>
      <c r="C700" s="252">
        <v>1250</v>
      </c>
      <c r="D700" s="296" t="s">
        <v>609</v>
      </c>
      <c r="H700" s="296" t="s">
        <v>651</v>
      </c>
      <c r="N700" s="296" t="s">
        <v>975</v>
      </c>
      <c r="O700" s="253" t="s">
        <v>552</v>
      </c>
      <c r="R700" s="252">
        <f>R698/M690</f>
        <v>1395.85</v>
      </c>
      <c r="AG700" s="296" t="s">
        <v>2259</v>
      </c>
    </row>
    <row r="701" spans="1:33" hidden="1">
      <c r="A701" s="379">
        <f t="shared" si="38"/>
        <v>528</v>
      </c>
      <c r="B701" s="296" t="s">
        <v>1235</v>
      </c>
      <c r="C701" s="252">
        <v>1250</v>
      </c>
      <c r="D701" s="296" t="s">
        <v>609</v>
      </c>
      <c r="H701" s="296" t="s">
        <v>517</v>
      </c>
      <c r="R701" s="358" t="s">
        <v>2055</v>
      </c>
      <c r="AG701" s="296" t="s">
        <v>2259</v>
      </c>
    </row>
    <row r="702" spans="1:33" hidden="1">
      <c r="A702" s="379">
        <f t="shared" si="38"/>
        <v>529</v>
      </c>
      <c r="B702" s="296" t="s">
        <v>518</v>
      </c>
      <c r="C702" s="252">
        <v>1250</v>
      </c>
      <c r="D702" s="296" t="s">
        <v>609</v>
      </c>
      <c r="H702" s="296" t="s">
        <v>519</v>
      </c>
      <c r="M702" s="253" t="s">
        <v>1539</v>
      </c>
      <c r="N702" s="296" t="s">
        <v>520</v>
      </c>
      <c r="O702" s="296" t="s">
        <v>521</v>
      </c>
      <c r="AG702" s="296" t="s">
        <v>2259</v>
      </c>
    </row>
    <row r="703" spans="1:33" hidden="1">
      <c r="A703" s="379">
        <f t="shared" si="38"/>
        <v>530</v>
      </c>
      <c r="B703" s="296" t="s">
        <v>522</v>
      </c>
      <c r="C703" s="252">
        <v>1250</v>
      </c>
      <c r="D703" s="296" t="s">
        <v>609</v>
      </c>
      <c r="H703" s="296" t="s">
        <v>2</v>
      </c>
      <c r="O703" s="358" t="s">
        <v>1586</v>
      </c>
      <c r="AG703" s="296" t="s">
        <v>2259</v>
      </c>
    </row>
    <row r="704" spans="1:33" hidden="1">
      <c r="A704" s="379">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379">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379">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379">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379">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379">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379">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379">
        <f t="shared" si="41"/>
        <v>538</v>
      </c>
      <c r="B711" s="296" t="s">
        <v>1657</v>
      </c>
      <c r="D711" s="296" t="s">
        <v>975</v>
      </c>
      <c r="H711" s="296" t="s">
        <v>1658</v>
      </c>
      <c r="K711" s="358" t="s">
        <v>1586</v>
      </c>
      <c r="N711" s="296" t="s">
        <v>449</v>
      </c>
      <c r="O711" s="296" t="s">
        <v>450</v>
      </c>
      <c r="Q711" s="296" t="s">
        <v>449</v>
      </c>
      <c r="R711" s="252">
        <v>0</v>
      </c>
      <c r="AG711" s="296" t="s">
        <v>2259</v>
      </c>
    </row>
    <row r="712" spans="1:33" hidden="1">
      <c r="A712" s="379">
        <f t="shared" si="41"/>
        <v>539</v>
      </c>
      <c r="B712" s="296" t="s">
        <v>1659</v>
      </c>
      <c r="C712" s="252">
        <v>65</v>
      </c>
      <c r="D712" s="296" t="s">
        <v>1716</v>
      </c>
      <c r="H712" s="253" t="s">
        <v>23</v>
      </c>
      <c r="K712" s="252">
        <f>SUM(K706:K710)</f>
        <v>563.79999999999995</v>
      </c>
      <c r="R712" s="358" t="s">
        <v>1586</v>
      </c>
      <c r="AG712" s="296" t="s">
        <v>2259</v>
      </c>
    </row>
    <row r="713" spans="1:33" hidden="1">
      <c r="A713" s="379">
        <f t="shared" si="41"/>
        <v>540</v>
      </c>
      <c r="B713" s="296" t="s">
        <v>24</v>
      </c>
      <c r="C713" s="252">
        <v>64.55</v>
      </c>
      <c r="D713" s="296" t="s">
        <v>1716</v>
      </c>
      <c r="K713" s="358" t="s">
        <v>1586</v>
      </c>
      <c r="O713" s="253" t="s">
        <v>25</v>
      </c>
      <c r="R713" s="252">
        <f>SUM(R704:R711)</f>
        <v>1645.36</v>
      </c>
      <c r="AG713" s="296" t="s">
        <v>2259</v>
      </c>
    </row>
    <row r="714" spans="1:33" hidden="1">
      <c r="A714" s="379">
        <f t="shared" si="41"/>
        <v>541</v>
      </c>
      <c r="B714" s="296" t="s">
        <v>26</v>
      </c>
      <c r="C714" s="252">
        <v>110.95</v>
      </c>
      <c r="D714" s="296" t="s">
        <v>1716</v>
      </c>
      <c r="H714" s="253" t="s">
        <v>27</v>
      </c>
      <c r="K714" s="252">
        <f>K712/40</f>
        <v>14.1</v>
      </c>
      <c r="R714" s="358" t="s">
        <v>1586</v>
      </c>
      <c r="AG714" s="296" t="s">
        <v>2259</v>
      </c>
    </row>
    <row r="715" spans="1:33" hidden="1">
      <c r="A715" s="379">
        <f t="shared" si="41"/>
        <v>542</v>
      </c>
      <c r="B715" s="296" t="s">
        <v>1018</v>
      </c>
      <c r="C715" s="252">
        <v>399</v>
      </c>
      <c r="D715" s="296" t="s">
        <v>1716</v>
      </c>
      <c r="K715" s="358" t="s">
        <v>1586</v>
      </c>
      <c r="O715" s="253" t="s">
        <v>552</v>
      </c>
      <c r="R715" s="252">
        <f>R713/M706</f>
        <v>1016.22</v>
      </c>
      <c r="AG715" s="296" t="s">
        <v>2259</v>
      </c>
    </row>
    <row r="716" spans="1:33" hidden="1">
      <c r="A716" s="379">
        <f t="shared" si="41"/>
        <v>543</v>
      </c>
      <c r="B716" s="296" t="s">
        <v>896</v>
      </c>
      <c r="C716" s="252">
        <v>92</v>
      </c>
      <c r="D716" s="296" t="s">
        <v>1716</v>
      </c>
      <c r="H716" s="296" t="s">
        <v>897</v>
      </c>
      <c r="R716" s="358" t="s">
        <v>2055</v>
      </c>
      <c r="AG716" s="296" t="s">
        <v>2259</v>
      </c>
    </row>
    <row r="717" spans="1:33" hidden="1">
      <c r="A717" s="379">
        <f t="shared" si="41"/>
        <v>544</v>
      </c>
      <c r="B717" s="296" t="s">
        <v>312</v>
      </c>
      <c r="C717" s="252">
        <v>174.24</v>
      </c>
      <c r="D717" s="296" t="s">
        <v>1716</v>
      </c>
      <c r="H717" s="296" t="s">
        <v>313</v>
      </c>
      <c r="AG717" s="296" t="s">
        <v>2259</v>
      </c>
    </row>
    <row r="718" spans="1:33" hidden="1">
      <c r="A718" s="379">
        <f t="shared" si="41"/>
        <v>545</v>
      </c>
      <c r="B718" s="296" t="s">
        <v>314</v>
      </c>
      <c r="C718" s="252">
        <v>215.06</v>
      </c>
      <c r="D718" s="296" t="s">
        <v>1716</v>
      </c>
      <c r="H718" s="296" t="s">
        <v>315</v>
      </c>
      <c r="M718" s="253" t="s">
        <v>1539</v>
      </c>
      <c r="N718" s="296" t="s">
        <v>316</v>
      </c>
      <c r="O718" s="296" t="s">
        <v>1620</v>
      </c>
      <c r="AG718" s="296" t="s">
        <v>2259</v>
      </c>
    </row>
    <row r="719" spans="1:33" hidden="1">
      <c r="A719" s="379">
        <f t="shared" si="41"/>
        <v>546</v>
      </c>
      <c r="B719" s="296" t="s">
        <v>1621</v>
      </c>
      <c r="C719" s="252">
        <v>97.24</v>
      </c>
      <c r="D719" s="296" t="s">
        <v>1716</v>
      </c>
      <c r="O719" s="358" t="s">
        <v>1586</v>
      </c>
      <c r="AG719" s="296" t="s">
        <v>2259</v>
      </c>
    </row>
    <row r="720" spans="1:33" hidden="1">
      <c r="A720" s="379">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379">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379">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379">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379">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379">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379">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379">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379">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379">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379">
        <f t="shared" si="41"/>
        <v>557</v>
      </c>
      <c r="B730" s="296" t="s">
        <v>570</v>
      </c>
      <c r="C730" s="252">
        <v>140</v>
      </c>
      <c r="D730" s="296" t="s">
        <v>2285</v>
      </c>
      <c r="H730" s="296" t="s">
        <v>504</v>
      </c>
      <c r="K730" s="358" t="s">
        <v>1586</v>
      </c>
      <c r="R730" s="358" t="s">
        <v>1586</v>
      </c>
      <c r="AG730" s="296" t="s">
        <v>321</v>
      </c>
    </row>
    <row r="731" spans="1:33" hidden="1">
      <c r="A731" s="379">
        <f t="shared" si="41"/>
        <v>558</v>
      </c>
      <c r="B731" s="296" t="s">
        <v>838</v>
      </c>
      <c r="C731" s="252">
        <v>222</v>
      </c>
      <c r="D731" s="296" t="s">
        <v>2285</v>
      </c>
      <c r="H731" s="253" t="s">
        <v>441</v>
      </c>
      <c r="K731" s="252">
        <f>SUM(K720:K729)</f>
        <v>2050.88</v>
      </c>
      <c r="O731" s="253" t="s">
        <v>552</v>
      </c>
      <c r="R731" s="252">
        <f>R729/1.3247</f>
        <v>1034.44</v>
      </c>
    </row>
    <row r="732" spans="1:33" hidden="1">
      <c r="A732" s="379">
        <f t="shared" si="41"/>
        <v>559</v>
      </c>
      <c r="B732" s="296" t="s">
        <v>612</v>
      </c>
      <c r="C732" s="252">
        <v>505</v>
      </c>
      <c r="D732" s="296" t="s">
        <v>2285</v>
      </c>
      <c r="K732" s="358" t="s">
        <v>1586</v>
      </c>
      <c r="R732" s="358" t="s">
        <v>2055</v>
      </c>
    </row>
    <row r="733" spans="1:33" hidden="1">
      <c r="A733" s="379">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379">
        <f>(A733+1)</f>
        <v>561</v>
      </c>
      <c r="B735" s="296" t="s">
        <v>100</v>
      </c>
      <c r="C735" s="252">
        <v>43.3</v>
      </c>
      <c r="D735" s="296" t="s">
        <v>1771</v>
      </c>
      <c r="K735" s="358" t="s">
        <v>2055</v>
      </c>
      <c r="O735" s="296" t="s">
        <v>2113</v>
      </c>
      <c r="AG735" s="296" t="s">
        <v>2259</v>
      </c>
    </row>
    <row r="736" spans="1:33" hidden="1">
      <c r="A736" s="379">
        <f t="shared" ref="A736:A753" si="44">(A735+1)</f>
        <v>562</v>
      </c>
      <c r="B736" s="296" t="s">
        <v>2114</v>
      </c>
      <c r="C736" s="252">
        <v>218</v>
      </c>
      <c r="D736" s="296" t="s">
        <v>1716</v>
      </c>
      <c r="F736" s="253" t="s">
        <v>1490</v>
      </c>
      <c r="G736" s="252" t="s">
        <v>2251</v>
      </c>
      <c r="H736" s="296" t="s">
        <v>716</v>
      </c>
      <c r="O736" s="296" t="s">
        <v>717</v>
      </c>
      <c r="AG736" s="296" t="s">
        <v>2259</v>
      </c>
    </row>
    <row r="737" spans="1:33" hidden="1">
      <c r="A737" s="379">
        <f t="shared" si="44"/>
        <v>563</v>
      </c>
      <c r="B737" s="296" t="s">
        <v>718</v>
      </c>
      <c r="C737" s="252">
        <v>926</v>
      </c>
      <c r="D737" s="296" t="s">
        <v>1716</v>
      </c>
      <c r="H737" s="296" t="s">
        <v>719</v>
      </c>
      <c r="O737" s="296" t="s">
        <v>86</v>
      </c>
      <c r="AG737" s="296" t="s">
        <v>2259</v>
      </c>
    </row>
    <row r="738" spans="1:33" hidden="1">
      <c r="A738" s="379">
        <f t="shared" si="44"/>
        <v>564</v>
      </c>
      <c r="B738" s="296" t="s">
        <v>87</v>
      </c>
      <c r="C738" s="252">
        <v>5.15</v>
      </c>
      <c r="D738" s="296" t="s">
        <v>1771</v>
      </c>
      <c r="H738" s="296" t="s">
        <v>2273</v>
      </c>
      <c r="O738" s="358" t="s">
        <v>1586</v>
      </c>
      <c r="AG738" s="296" t="s">
        <v>2259</v>
      </c>
    </row>
    <row r="739" spans="1:33" hidden="1">
      <c r="A739" s="379">
        <f t="shared" si="44"/>
        <v>565</v>
      </c>
      <c r="B739" s="296" t="s">
        <v>567</v>
      </c>
      <c r="C739" s="252">
        <v>550</v>
      </c>
      <c r="D739" s="296" t="s">
        <v>1716</v>
      </c>
      <c r="H739" s="358" t="s">
        <v>1586</v>
      </c>
      <c r="AG739" s="296" t="s">
        <v>2259</v>
      </c>
    </row>
    <row r="740" spans="1:33" hidden="1">
      <c r="A740" s="379">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379">
        <f t="shared" si="44"/>
        <v>567</v>
      </c>
      <c r="B741" s="296" t="s">
        <v>900</v>
      </c>
      <c r="C741" s="252">
        <v>96.3</v>
      </c>
      <c r="D741" s="296" t="s">
        <v>1771</v>
      </c>
      <c r="H741" s="296" t="s">
        <v>901</v>
      </c>
      <c r="R741" s="358" t="s">
        <v>2055</v>
      </c>
      <c r="AG741" s="296" t="s">
        <v>2259</v>
      </c>
    </row>
    <row r="742" spans="1:33" hidden="1">
      <c r="A742" s="379">
        <f t="shared" si="44"/>
        <v>568</v>
      </c>
      <c r="B742" s="296" t="s">
        <v>839</v>
      </c>
      <c r="C742" s="252">
        <v>51</v>
      </c>
      <c r="D742" s="296" t="s">
        <v>1716</v>
      </c>
      <c r="H742" s="296" t="s">
        <v>840</v>
      </c>
      <c r="AG742" s="296" t="s">
        <v>2259</v>
      </c>
    </row>
    <row r="743" spans="1:33" hidden="1">
      <c r="A743" s="379">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379">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379">
        <f t="shared" si="44"/>
        <v>571</v>
      </c>
      <c r="B745" s="296" t="s">
        <v>658</v>
      </c>
      <c r="C745" s="252">
        <v>98</v>
      </c>
      <c r="D745" s="296" t="s">
        <v>1716</v>
      </c>
      <c r="H745" s="296" t="s">
        <v>816</v>
      </c>
      <c r="O745" s="296" t="s">
        <v>1433</v>
      </c>
      <c r="Q745" s="253" t="s">
        <v>826</v>
      </c>
      <c r="R745" s="252">
        <f>(C696)</f>
        <v>147.6</v>
      </c>
      <c r="AG745" s="296" t="s">
        <v>2259</v>
      </c>
    </row>
    <row r="746" spans="1:33" hidden="1">
      <c r="A746" s="379">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379">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379">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379">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379">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379">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379">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379">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379" t="e">
        <f>(#REF!+1)</f>
        <v>#REF!</v>
      </c>
      <c r="B754" s="296" t="s">
        <v>1397</v>
      </c>
      <c r="K754" s="358" t="s">
        <v>1586</v>
      </c>
      <c r="O754" s="296" t="s">
        <v>1683</v>
      </c>
      <c r="AG754" s="296" t="s">
        <v>2259</v>
      </c>
    </row>
    <row r="755" spans="1:33" hidden="1">
      <c r="A755" s="379"/>
      <c r="B755" s="296" t="s">
        <v>2178</v>
      </c>
      <c r="C755" s="252">
        <v>300</v>
      </c>
      <c r="H755" s="296" t="s">
        <v>441</v>
      </c>
      <c r="K755" s="252">
        <f>SUM(K740:K753)</f>
        <v>2149.56</v>
      </c>
      <c r="O755" s="296" t="s">
        <v>317</v>
      </c>
      <c r="AG755" s="296" t="s">
        <v>2259</v>
      </c>
    </row>
    <row r="756" spans="1:33" hidden="1">
      <c r="A756" s="379"/>
      <c r="B756" s="253" t="s">
        <v>774</v>
      </c>
      <c r="C756" s="252">
        <v>302</v>
      </c>
      <c r="K756" s="358" t="s">
        <v>1586</v>
      </c>
      <c r="O756" s="296" t="s">
        <v>1267</v>
      </c>
      <c r="AG756" s="296" t="s">
        <v>2259</v>
      </c>
    </row>
    <row r="757" spans="1:33" hidden="1">
      <c r="A757" s="379"/>
      <c r="B757" s="296" t="s">
        <v>1268</v>
      </c>
      <c r="C757" s="252">
        <v>324</v>
      </c>
      <c r="H757" s="296" t="s">
        <v>552</v>
      </c>
      <c r="K757" s="252">
        <f>(K755/10)</f>
        <v>214.96</v>
      </c>
      <c r="AG757" s="296" t="s">
        <v>2259</v>
      </c>
    </row>
    <row r="758" spans="1:33" hidden="1">
      <c r="A758" s="379"/>
      <c r="B758" s="296" t="s">
        <v>776</v>
      </c>
      <c r="C758" s="252">
        <v>382</v>
      </c>
      <c r="K758" s="358" t="s">
        <v>2055</v>
      </c>
      <c r="N758" s="296" t="s">
        <v>2251</v>
      </c>
      <c r="O758" s="296" t="s">
        <v>594</v>
      </c>
      <c r="AG758" s="296" t="s">
        <v>2259</v>
      </c>
    </row>
    <row r="759" spans="1:33" hidden="1">
      <c r="A759" s="379"/>
      <c r="B759" s="296" t="s">
        <v>612</v>
      </c>
      <c r="C759" s="252">
        <v>505</v>
      </c>
      <c r="O759" s="296" t="s">
        <v>2089</v>
      </c>
      <c r="R759" s="296" t="s">
        <v>975</v>
      </c>
      <c r="AG759" s="296" t="s">
        <v>2259</v>
      </c>
    </row>
    <row r="760" spans="1:33" hidden="1">
      <c r="A760" s="379"/>
      <c r="B760" s="296" t="s">
        <v>570</v>
      </c>
      <c r="C760" s="252">
        <v>140</v>
      </c>
      <c r="F760" s="253" t="s">
        <v>885</v>
      </c>
      <c r="G760" s="252" t="s">
        <v>2251</v>
      </c>
      <c r="H760" s="296" t="s">
        <v>716</v>
      </c>
      <c r="O760" s="296" t="s">
        <v>2090</v>
      </c>
      <c r="AG760" s="296" t="s">
        <v>2259</v>
      </c>
    </row>
    <row r="761" spans="1:33" hidden="1">
      <c r="A761" s="379"/>
      <c r="B761" s="296" t="s">
        <v>838</v>
      </c>
      <c r="C761" s="252">
        <v>222</v>
      </c>
      <c r="H761" s="296" t="s">
        <v>719</v>
      </c>
      <c r="O761" s="358" t="s">
        <v>1586</v>
      </c>
      <c r="AG761" s="296" t="s">
        <v>2259</v>
      </c>
    </row>
    <row r="762" spans="1:33" hidden="1">
      <c r="A762" s="379"/>
      <c r="B762" s="296" t="s">
        <v>730</v>
      </c>
      <c r="C762" s="252">
        <v>100</v>
      </c>
      <c r="H762" s="296" t="s">
        <v>277</v>
      </c>
      <c r="N762" s="296" t="s">
        <v>233</v>
      </c>
      <c r="O762" s="296" t="s">
        <v>497</v>
      </c>
      <c r="P762" s="252">
        <f>(C271)</f>
        <v>160</v>
      </c>
      <c r="Q762" s="296" t="s">
        <v>233</v>
      </c>
      <c r="R762" s="252" t="e">
        <f>(#VALUE!*P762)</f>
        <v>#VALUE!</v>
      </c>
      <c r="AG762" s="296" t="s">
        <v>2259</v>
      </c>
    </row>
    <row r="763" spans="1:33" hidden="1">
      <c r="A763" s="379"/>
      <c r="B763" s="296" t="s">
        <v>498</v>
      </c>
      <c r="C763" s="252">
        <v>75</v>
      </c>
      <c r="H763" s="358" t="s">
        <v>1586</v>
      </c>
      <c r="AG763" s="296" t="s">
        <v>2259</v>
      </c>
    </row>
    <row r="764" spans="1:33" hidden="1">
      <c r="A764" s="379"/>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379"/>
      <c r="B765" s="296" t="s">
        <v>275</v>
      </c>
      <c r="C765" s="252">
        <v>1854</v>
      </c>
      <c r="H765" s="296" t="s">
        <v>276</v>
      </c>
      <c r="K765" s="358" t="s">
        <v>2055</v>
      </c>
      <c r="AG765" s="296" t="s">
        <v>2259</v>
      </c>
    </row>
    <row r="766" spans="1:33" hidden="1"/>
    <row r="767" spans="1:33" hidden="1">
      <c r="A767" s="379"/>
      <c r="B767" s="296" t="s">
        <v>162</v>
      </c>
      <c r="C767" s="252">
        <v>51</v>
      </c>
      <c r="F767" s="253" t="s">
        <v>163</v>
      </c>
      <c r="G767" s="252" t="s">
        <v>2251</v>
      </c>
      <c r="H767" s="296" t="s">
        <v>164</v>
      </c>
      <c r="O767" s="296" t="s">
        <v>1326</v>
      </c>
      <c r="P767" s="375" t="s">
        <v>449</v>
      </c>
      <c r="R767" s="252">
        <v>0.64</v>
      </c>
      <c r="AG767" s="296" t="s">
        <v>2259</v>
      </c>
    </row>
    <row r="768" spans="1:33" hidden="1">
      <c r="A768" s="379"/>
      <c r="B768" s="296" t="s">
        <v>1382</v>
      </c>
      <c r="C768" s="252">
        <v>915</v>
      </c>
      <c r="H768" s="296" t="s">
        <v>1383</v>
      </c>
      <c r="R768" s="358" t="s">
        <v>1586</v>
      </c>
      <c r="AG768" s="296" t="s">
        <v>2259</v>
      </c>
    </row>
    <row r="769" spans="1:33" hidden="1">
      <c r="A769" s="379"/>
      <c r="B769" s="296" t="s">
        <v>131</v>
      </c>
      <c r="C769" s="252">
        <v>890</v>
      </c>
      <c r="H769" s="296" t="s">
        <v>132</v>
      </c>
      <c r="O769" s="296" t="s">
        <v>1930</v>
      </c>
      <c r="R769" s="252" t="e">
        <f>SUM(R762:R767)</f>
        <v>#VALUE!</v>
      </c>
      <c r="AG769" s="296" t="s">
        <v>2259</v>
      </c>
    </row>
    <row r="770" spans="1:33" hidden="1">
      <c r="A770" s="379"/>
      <c r="B770" s="296" t="s">
        <v>1931</v>
      </c>
      <c r="C770" s="252">
        <v>5.15</v>
      </c>
      <c r="H770" s="358" t="s">
        <v>1586</v>
      </c>
      <c r="R770" s="358" t="s">
        <v>1586</v>
      </c>
      <c r="AG770" s="296" t="s">
        <v>2259</v>
      </c>
    </row>
    <row r="771" spans="1:33" hidden="1">
      <c r="A771" s="379"/>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379"/>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379"/>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379"/>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379"/>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379"/>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379"/>
      <c r="B777" s="296" t="s">
        <v>2059</v>
      </c>
      <c r="C777" s="252">
        <v>30</v>
      </c>
      <c r="F777" s="375" t="s">
        <v>449</v>
      </c>
      <c r="H777" s="296" t="s">
        <v>450</v>
      </c>
      <c r="J777" s="253" t="s">
        <v>449</v>
      </c>
      <c r="K777" s="252">
        <v>0</v>
      </c>
      <c r="N777" s="375" t="s">
        <v>1907</v>
      </c>
      <c r="O777" s="296" t="s">
        <v>855</v>
      </c>
      <c r="AG777" s="296" t="s">
        <v>2259</v>
      </c>
    </row>
    <row r="778" spans="1:33" hidden="1">
      <c r="A778" s="379"/>
      <c r="B778" s="296" t="s">
        <v>1762</v>
      </c>
      <c r="C778" s="252">
        <v>2107</v>
      </c>
      <c r="K778" s="358" t="s">
        <v>1586</v>
      </c>
      <c r="O778" s="296" t="s">
        <v>1763</v>
      </c>
      <c r="AG778" s="296" t="s">
        <v>2259</v>
      </c>
    </row>
    <row r="779" spans="1:33" hidden="1">
      <c r="A779" s="379"/>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379"/>
      <c r="B780" s="296" t="s">
        <v>1284</v>
      </c>
      <c r="C780" s="363">
        <v>160</v>
      </c>
      <c r="K780" s="358" t="s">
        <v>2055</v>
      </c>
      <c r="O780" s="296" t="s">
        <v>1920</v>
      </c>
      <c r="AG780" s="296" t="s">
        <v>2259</v>
      </c>
    </row>
    <row r="781" spans="1:33" hidden="1">
      <c r="A781" s="379"/>
      <c r="B781" s="296" t="s">
        <v>1285</v>
      </c>
      <c r="C781" s="363">
        <v>110</v>
      </c>
      <c r="H781" s="296" t="s">
        <v>773</v>
      </c>
      <c r="K781" s="252" t="e">
        <f>K779/10</f>
        <v>#REF!</v>
      </c>
      <c r="O781" s="296" t="s">
        <v>986</v>
      </c>
      <c r="AG781" s="296" t="s">
        <v>2259</v>
      </c>
    </row>
    <row r="782" spans="1:33" hidden="1">
      <c r="A782" s="379"/>
      <c r="N782" s="296" t="s">
        <v>609</v>
      </c>
      <c r="O782" s="296" t="s">
        <v>987</v>
      </c>
      <c r="P782" s="252">
        <f>C271</f>
        <v>160</v>
      </c>
      <c r="R782" s="252" t="e">
        <f>(#VALUE!*P782)</f>
        <v>#VALUE!</v>
      </c>
      <c r="AG782" s="296" t="s">
        <v>2259</v>
      </c>
    </row>
    <row r="783" spans="1:33" hidden="1">
      <c r="A783" s="379"/>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379"/>
      <c r="C784" s="252">
        <v>30</v>
      </c>
      <c r="K784" s="358" t="s">
        <v>1586</v>
      </c>
      <c r="N784" s="296" t="s">
        <v>868</v>
      </c>
      <c r="O784" s="296" t="s">
        <v>150</v>
      </c>
      <c r="P784" s="252">
        <v>10</v>
      </c>
      <c r="R784" s="252" t="e">
        <f>(#VALUE!*P784)</f>
        <v>#VALUE!</v>
      </c>
      <c r="AG784" s="296" t="s">
        <v>2259</v>
      </c>
    </row>
    <row r="785" spans="1:33" hidden="1">
      <c r="A785" s="379"/>
      <c r="C785" s="252">
        <v>35</v>
      </c>
      <c r="K785" s="252" t="e">
        <f>SUM(K781:K783)</f>
        <v>#REF!</v>
      </c>
      <c r="N785" s="296" t="s">
        <v>868</v>
      </c>
      <c r="O785" s="296" t="s">
        <v>1747</v>
      </c>
      <c r="P785" s="252">
        <v>8</v>
      </c>
      <c r="R785" s="252" t="e">
        <f>(#VALUE!*P785)</f>
        <v>#VALUE!</v>
      </c>
      <c r="AG785" s="296" t="s">
        <v>2259</v>
      </c>
    </row>
    <row r="786" spans="1:33" hidden="1">
      <c r="A786" s="379"/>
      <c r="C786" s="252">
        <v>125</v>
      </c>
      <c r="K786" s="358" t="s">
        <v>1586</v>
      </c>
      <c r="N786" s="296" t="s">
        <v>826</v>
      </c>
      <c r="O786" s="296" t="s">
        <v>1499</v>
      </c>
      <c r="P786" s="252">
        <v>13.66</v>
      </c>
      <c r="R786" s="252" t="e">
        <f>(#VALUE!*P786)</f>
        <v>#VALUE!</v>
      </c>
      <c r="AG786" s="296" t="s">
        <v>2259</v>
      </c>
    </row>
    <row r="787" spans="1:33" hidden="1">
      <c r="A787" s="379"/>
      <c r="B787" s="252" t="s">
        <v>2930</v>
      </c>
      <c r="C787" s="363">
        <v>162</v>
      </c>
      <c r="D787" s="363">
        <v>179</v>
      </c>
      <c r="K787" s="358"/>
      <c r="N787" s="296"/>
      <c r="O787" s="296"/>
      <c r="AG787" s="296"/>
    </row>
    <row r="788" spans="1:33" hidden="1">
      <c r="A788" s="379"/>
      <c r="B788" s="252" t="s">
        <v>2931</v>
      </c>
      <c r="C788" s="365">
        <v>185</v>
      </c>
      <c r="H788" s="296" t="s">
        <v>386</v>
      </c>
      <c r="K788" s="252" t="e">
        <f>(K785+C22)</f>
        <v>#REF!</v>
      </c>
      <c r="N788" s="296" t="s">
        <v>609</v>
      </c>
      <c r="O788" s="296" t="s">
        <v>1500</v>
      </c>
      <c r="P788" s="252">
        <v>25.46</v>
      </c>
      <c r="R788" s="252" t="e">
        <f>(#VALUE!*P788)</f>
        <v>#VALUE!</v>
      </c>
      <c r="AG788" s="296" t="s">
        <v>2259</v>
      </c>
    </row>
    <row r="789" spans="1:33" hidden="1">
      <c r="A789" s="379"/>
      <c r="B789" s="252" t="s">
        <v>2932</v>
      </c>
      <c r="C789" s="365">
        <v>170</v>
      </c>
      <c r="H789" s="296" t="s">
        <v>388</v>
      </c>
      <c r="K789" s="252" t="e">
        <f>(K788+C23)</f>
        <v>#REF!</v>
      </c>
      <c r="N789" s="296" t="s">
        <v>868</v>
      </c>
      <c r="O789" s="296" t="s">
        <v>1319</v>
      </c>
      <c r="P789" s="252">
        <v>0.5</v>
      </c>
      <c r="R789" s="252" t="e">
        <f>(#VALUE!*P789)</f>
        <v>#VALUE!</v>
      </c>
      <c r="AG789" s="296" t="s">
        <v>2259</v>
      </c>
    </row>
    <row r="790" spans="1:33" hidden="1">
      <c r="A790" s="379"/>
      <c r="B790" s="252" t="s">
        <v>2933</v>
      </c>
      <c r="C790" s="365">
        <v>160</v>
      </c>
      <c r="H790" s="296" t="s">
        <v>2232</v>
      </c>
      <c r="K790" s="252" t="e">
        <f>(K789+C24)</f>
        <v>#REF!</v>
      </c>
      <c r="R790" s="252">
        <v>0.54</v>
      </c>
      <c r="AG790" s="296" t="s">
        <v>321</v>
      </c>
    </row>
    <row r="791" spans="1:33" hidden="1">
      <c r="A791" s="379"/>
      <c r="B791" s="252" t="s">
        <v>1285</v>
      </c>
      <c r="C791" s="365">
        <v>121</v>
      </c>
      <c r="H791" s="296" t="s">
        <v>380</v>
      </c>
      <c r="K791" s="252" t="e">
        <f>(K790+C24)</f>
        <v>#REF!</v>
      </c>
      <c r="R791" s="358" t="s">
        <v>1586</v>
      </c>
    </row>
    <row r="792" spans="1:33" hidden="1">
      <c r="A792" s="379"/>
      <c r="B792" s="252" t="s">
        <v>2934</v>
      </c>
      <c r="C792" s="363">
        <v>120</v>
      </c>
      <c r="H792" s="296" t="s">
        <v>1532</v>
      </c>
      <c r="K792" s="252" t="e">
        <f>(K791+C24)</f>
        <v>#REF!</v>
      </c>
      <c r="O792" s="253" t="s">
        <v>1320</v>
      </c>
      <c r="R792" s="252" t="e">
        <f>SUM(R779:R790)</f>
        <v>#VALUE!</v>
      </c>
    </row>
    <row r="793" spans="1:33" hidden="1">
      <c r="B793" s="252" t="s">
        <v>2935</v>
      </c>
      <c r="C793" s="363">
        <v>70</v>
      </c>
      <c r="F793" s="296" t="s">
        <v>975</v>
      </c>
    </row>
    <row r="794" spans="1:33" hidden="1">
      <c r="A794" s="379"/>
      <c r="B794" s="252" t="s">
        <v>2936</v>
      </c>
      <c r="C794" s="252">
        <v>35</v>
      </c>
      <c r="F794" s="296" t="s">
        <v>975</v>
      </c>
      <c r="G794" s="252" t="s">
        <v>2251</v>
      </c>
      <c r="H794" s="253" t="s">
        <v>1321</v>
      </c>
      <c r="R794" s="358" t="s">
        <v>1586</v>
      </c>
      <c r="AG794" s="296" t="s">
        <v>2259</v>
      </c>
    </row>
    <row r="795" spans="1:33" hidden="1">
      <c r="A795" s="379"/>
      <c r="B795" s="252" t="s">
        <v>2937</v>
      </c>
      <c r="C795" s="252">
        <v>90</v>
      </c>
      <c r="H795" s="358" t="s">
        <v>2055</v>
      </c>
      <c r="AG795" s="296" t="s">
        <v>2259</v>
      </c>
    </row>
    <row r="796" spans="1:33" hidden="1">
      <c r="A796" s="379"/>
      <c r="B796" s="252" t="s">
        <v>2942</v>
      </c>
      <c r="C796" s="363">
        <v>140</v>
      </c>
      <c r="N796" s="296" t="s">
        <v>520</v>
      </c>
      <c r="O796" s="296" t="s">
        <v>1322</v>
      </c>
      <c r="AG796" s="296" t="s">
        <v>2259</v>
      </c>
    </row>
    <row r="797" spans="1:33" ht="31.5" hidden="1">
      <c r="A797" s="631">
        <v>1</v>
      </c>
      <c r="B797" s="377" t="s">
        <v>3150</v>
      </c>
      <c r="F797" s="253" t="s">
        <v>1323</v>
      </c>
      <c r="G797" s="252" t="s">
        <v>2251</v>
      </c>
      <c r="H797" s="296" t="s">
        <v>2031</v>
      </c>
      <c r="O797" s="296" t="s">
        <v>1763</v>
      </c>
      <c r="AG797" s="296" t="s">
        <v>2259</v>
      </c>
    </row>
    <row r="798" spans="1:33" hidden="1">
      <c r="A798" s="631"/>
      <c r="B798" s="252" t="s">
        <v>3151</v>
      </c>
      <c r="C798" s="376">
        <v>11</v>
      </c>
      <c r="H798" s="296" t="s">
        <v>2032</v>
      </c>
      <c r="N798" s="296" t="s">
        <v>268</v>
      </c>
      <c r="O798" s="296" t="s">
        <v>1765</v>
      </c>
      <c r="P798" s="252">
        <v>43</v>
      </c>
      <c r="R798" s="252" t="e">
        <f>(#VALUE!*P798)</f>
        <v>#VALUE!</v>
      </c>
      <c r="AG798" s="296" t="s">
        <v>2259</v>
      </c>
    </row>
    <row r="799" spans="1:33" hidden="1">
      <c r="A799" s="631"/>
      <c r="B799" s="252" t="s">
        <v>3152</v>
      </c>
      <c r="C799" s="376">
        <v>11</v>
      </c>
      <c r="H799" s="296" t="s">
        <v>2033</v>
      </c>
      <c r="O799" s="296" t="s">
        <v>1920</v>
      </c>
      <c r="AG799" s="296" t="s">
        <v>2259</v>
      </c>
    </row>
    <row r="800" spans="1:33" hidden="1">
      <c r="A800" s="631"/>
      <c r="B800" s="252" t="s">
        <v>3153</v>
      </c>
      <c r="C800" s="376">
        <v>11</v>
      </c>
      <c r="H800" s="296" t="s">
        <v>891</v>
      </c>
      <c r="O800" s="296" t="s">
        <v>986</v>
      </c>
      <c r="AG800" s="296" t="s">
        <v>2259</v>
      </c>
    </row>
    <row r="801" spans="1:33" hidden="1">
      <c r="A801" s="631"/>
      <c r="B801" s="252" t="s">
        <v>3154</v>
      </c>
      <c r="C801" s="376">
        <v>11</v>
      </c>
      <c r="H801" s="296" t="s">
        <v>892</v>
      </c>
      <c r="N801" s="296" t="s">
        <v>609</v>
      </c>
      <c r="O801" s="296" t="s">
        <v>987</v>
      </c>
      <c r="P801" s="252">
        <f>C271</f>
        <v>160</v>
      </c>
      <c r="R801" s="252" t="e">
        <f t="shared" ref="R801:R807" si="47">(#VALUE!*P801)</f>
        <v>#VALUE!</v>
      </c>
      <c r="AG801" s="296" t="s">
        <v>2259</v>
      </c>
    </row>
    <row r="802" spans="1:33" hidden="1">
      <c r="A802" s="631"/>
      <c r="B802" s="252" t="s">
        <v>3155</v>
      </c>
      <c r="C802" s="376">
        <v>12</v>
      </c>
      <c r="H802" s="296" t="s">
        <v>1721</v>
      </c>
      <c r="N802" s="296" t="s">
        <v>868</v>
      </c>
      <c r="O802" s="296" t="s">
        <v>149</v>
      </c>
      <c r="P802" s="252">
        <v>5</v>
      </c>
      <c r="R802" s="252" t="e">
        <f t="shared" si="47"/>
        <v>#VALUE!</v>
      </c>
      <c r="AG802" s="296" t="s">
        <v>2259</v>
      </c>
    </row>
    <row r="803" spans="1:33" hidden="1">
      <c r="A803" s="631"/>
      <c r="B803" s="252" t="s">
        <v>3156</v>
      </c>
      <c r="C803" s="375" t="s">
        <v>3157</v>
      </c>
      <c r="H803" s="296" t="s">
        <v>93</v>
      </c>
      <c r="N803" s="296" t="s">
        <v>868</v>
      </c>
      <c r="O803" s="296" t="s">
        <v>150</v>
      </c>
      <c r="P803" s="252">
        <v>10</v>
      </c>
      <c r="R803" s="252" t="e">
        <f t="shared" si="47"/>
        <v>#VALUE!</v>
      </c>
      <c r="AG803" s="296" t="s">
        <v>2259</v>
      </c>
    </row>
    <row r="804" spans="1:33" hidden="1">
      <c r="A804" s="631"/>
      <c r="B804" s="252" t="s">
        <v>3158</v>
      </c>
      <c r="C804" s="363">
        <v>25</v>
      </c>
      <c r="H804" s="296" t="s">
        <v>94</v>
      </c>
      <c r="N804" s="296" t="s">
        <v>868</v>
      </c>
      <c r="O804" s="296" t="s">
        <v>1747</v>
      </c>
      <c r="P804" s="252">
        <v>8</v>
      </c>
      <c r="R804" s="252" t="e">
        <f t="shared" si="47"/>
        <v>#VALUE!</v>
      </c>
      <c r="AG804" s="296" t="s">
        <v>2259</v>
      </c>
    </row>
    <row r="805" spans="1:33" hidden="1">
      <c r="A805" s="631"/>
      <c r="B805" s="252" t="s">
        <v>3159</v>
      </c>
      <c r="C805" s="375" t="s">
        <v>3157</v>
      </c>
      <c r="H805" s="296" t="s">
        <v>95</v>
      </c>
      <c r="N805" s="296" t="s">
        <v>826</v>
      </c>
      <c r="O805" s="296" t="s">
        <v>1499</v>
      </c>
      <c r="P805" s="252">
        <v>13.66</v>
      </c>
      <c r="R805" s="252" t="e">
        <f t="shared" si="47"/>
        <v>#VALUE!</v>
      </c>
      <c r="AG805" s="296" t="s">
        <v>2259</v>
      </c>
    </row>
    <row r="806" spans="1:33" hidden="1">
      <c r="A806" s="631"/>
      <c r="B806" s="252" t="s">
        <v>3160</v>
      </c>
      <c r="C806" s="375" t="s">
        <v>3157</v>
      </c>
      <c r="H806" s="296" t="s">
        <v>96</v>
      </c>
      <c r="N806" s="296" t="s">
        <v>609</v>
      </c>
      <c r="O806" s="296" t="s">
        <v>1500</v>
      </c>
      <c r="P806" s="252">
        <v>25.46</v>
      </c>
      <c r="R806" s="252" t="e">
        <f t="shared" si="47"/>
        <v>#VALUE!</v>
      </c>
      <c r="AG806" s="296" t="s">
        <v>2259</v>
      </c>
    </row>
    <row r="807" spans="1:33" hidden="1">
      <c r="A807" s="631"/>
      <c r="B807" s="252" t="s">
        <v>3161</v>
      </c>
      <c r="C807" s="375" t="s">
        <v>3157</v>
      </c>
      <c r="H807" s="296" t="s">
        <v>2053</v>
      </c>
      <c r="N807" s="296" t="s">
        <v>868</v>
      </c>
      <c r="O807" s="296" t="s">
        <v>1319</v>
      </c>
      <c r="P807" s="252">
        <v>0.5</v>
      </c>
      <c r="R807" s="252" t="e">
        <f t="shared" si="47"/>
        <v>#VALUE!</v>
      </c>
      <c r="AG807" s="296" t="s">
        <v>2259</v>
      </c>
    </row>
    <row r="808" spans="1:33" hidden="1">
      <c r="A808" s="631">
        <v>2</v>
      </c>
      <c r="B808" s="377" t="s">
        <v>3162</v>
      </c>
      <c r="H808" s="296" t="s">
        <v>1028</v>
      </c>
      <c r="R808" s="252">
        <v>0.7</v>
      </c>
      <c r="AG808" s="296" t="s">
        <v>2259</v>
      </c>
    </row>
    <row r="809" spans="1:33" hidden="1">
      <c r="A809" s="631"/>
      <c r="B809" s="252" t="s">
        <v>3163</v>
      </c>
      <c r="C809" s="376">
        <v>12.5</v>
      </c>
      <c r="H809" s="296" t="s">
        <v>1778</v>
      </c>
      <c r="R809" s="358" t="s">
        <v>1586</v>
      </c>
      <c r="AG809" s="296" t="s">
        <v>2259</v>
      </c>
    </row>
    <row r="810" spans="1:33" hidden="1">
      <c r="A810" s="631">
        <v>3</v>
      </c>
      <c r="B810" s="252" t="s">
        <v>3164</v>
      </c>
      <c r="C810" s="363">
        <v>242</v>
      </c>
      <c r="H810" s="296" t="s">
        <v>1779</v>
      </c>
      <c r="O810" s="253" t="s">
        <v>1320</v>
      </c>
      <c r="R810" s="252" t="e">
        <f>SUM(R798:R808)</f>
        <v>#VALUE!</v>
      </c>
      <c r="AG810" s="296" t="s">
        <v>2259</v>
      </c>
    </row>
    <row r="811" spans="1:33" hidden="1">
      <c r="A811" s="631" t="s">
        <v>3165</v>
      </c>
      <c r="B811" s="274" t="s">
        <v>3166</v>
      </c>
      <c r="R811" s="358" t="s">
        <v>1586</v>
      </c>
      <c r="AG811" s="296" t="s">
        <v>2259</v>
      </c>
    </row>
    <row r="812" spans="1:33" hidden="1">
      <c r="A812" s="631"/>
      <c r="B812" s="252" t="s">
        <v>2540</v>
      </c>
      <c r="C812" s="386">
        <v>75</v>
      </c>
      <c r="R812" s="358"/>
      <c r="AG812" s="296"/>
    </row>
    <row r="813" spans="1:33" hidden="1">
      <c r="A813" s="631"/>
      <c r="B813" s="268" t="s">
        <v>2541</v>
      </c>
      <c r="C813" s="386">
        <v>80</v>
      </c>
      <c r="G813" s="252" t="s">
        <v>316</v>
      </c>
      <c r="H813" s="253" t="s">
        <v>1776</v>
      </c>
      <c r="R813" s="358"/>
      <c r="AG813" s="296"/>
    </row>
    <row r="814" spans="1:33" hidden="1">
      <c r="A814" s="631">
        <v>4</v>
      </c>
      <c r="B814" s="377" t="s">
        <v>2573</v>
      </c>
      <c r="H814" s="253" t="s">
        <v>1781</v>
      </c>
      <c r="R814" s="358"/>
      <c r="AG814" s="296"/>
    </row>
    <row r="815" spans="1:33" hidden="1">
      <c r="A815" s="631"/>
      <c r="B815" s="252" t="s">
        <v>2574</v>
      </c>
      <c r="C815" s="363">
        <v>42</v>
      </c>
      <c r="F815" s="373">
        <v>3.8800000000000001E-2</v>
      </c>
      <c r="G815" s="252" t="s">
        <v>869</v>
      </c>
      <c r="H815" s="296" t="s">
        <v>2073</v>
      </c>
      <c r="I815" s="252" t="e">
        <f>K781</f>
        <v>#REF!</v>
      </c>
      <c r="J815" s="253" t="s">
        <v>869</v>
      </c>
      <c r="K815" s="252" t="e">
        <f>F815*I815</f>
        <v>#REF!</v>
      </c>
      <c r="R815" s="358"/>
      <c r="AG815" s="296"/>
    </row>
    <row r="816" spans="1:33" hidden="1">
      <c r="A816" s="631"/>
      <c r="B816" s="252" t="s">
        <v>2575</v>
      </c>
      <c r="C816" s="363">
        <v>46</v>
      </c>
      <c r="F816" s="252">
        <v>5.01</v>
      </c>
      <c r="G816" s="252" t="s">
        <v>1645</v>
      </c>
      <c r="H816" s="296" t="s">
        <v>2074</v>
      </c>
      <c r="I816" s="252">
        <f>K1513</f>
        <v>33174.400000000001</v>
      </c>
      <c r="J816" s="253" t="s">
        <v>861</v>
      </c>
      <c r="K816" s="252">
        <f>F816*I816/1000</f>
        <v>166.2</v>
      </c>
      <c r="R816" s="358"/>
      <c r="AG816" s="296"/>
    </row>
    <row r="817" spans="1:33" hidden="1">
      <c r="A817" s="631"/>
      <c r="B817" s="252" t="s">
        <v>3017</v>
      </c>
      <c r="C817" s="363">
        <v>42</v>
      </c>
      <c r="F817" s="252">
        <v>3</v>
      </c>
      <c r="G817" s="252" t="s">
        <v>868</v>
      </c>
      <c r="H817" s="296" t="s">
        <v>1186</v>
      </c>
      <c r="I817" s="252">
        <v>16.5</v>
      </c>
      <c r="J817" s="253" t="s">
        <v>868</v>
      </c>
      <c r="K817" s="252">
        <f t="shared" ref="K817:K824" si="48">F817*I817</f>
        <v>49.5</v>
      </c>
      <c r="R817" s="358"/>
      <c r="AG817" s="296"/>
    </row>
    <row r="818" spans="1:33" ht="31.5" hidden="1">
      <c r="A818" s="631">
        <v>5</v>
      </c>
      <c r="B818" s="377" t="s">
        <v>3018</v>
      </c>
      <c r="F818" s="252">
        <v>12</v>
      </c>
      <c r="G818" s="252" t="s">
        <v>868</v>
      </c>
      <c r="H818" s="296" t="s">
        <v>1187</v>
      </c>
      <c r="I818" s="252">
        <v>3.85</v>
      </c>
      <c r="J818" s="253" t="s">
        <v>868</v>
      </c>
      <c r="K818" s="252">
        <f t="shared" si="48"/>
        <v>46.2</v>
      </c>
      <c r="R818" s="358"/>
      <c r="AG818" s="296"/>
    </row>
    <row r="819" spans="1:33" hidden="1">
      <c r="A819" s="631"/>
      <c r="B819" s="252" t="s">
        <v>3019</v>
      </c>
      <c r="C819" s="363">
        <v>174</v>
      </c>
      <c r="F819" s="252">
        <v>2</v>
      </c>
      <c r="G819" s="252" t="s">
        <v>868</v>
      </c>
      <c r="H819" s="296" t="s">
        <v>1188</v>
      </c>
      <c r="I819" s="252">
        <v>5</v>
      </c>
      <c r="J819" s="253" t="s">
        <v>868</v>
      </c>
      <c r="K819" s="252">
        <f t="shared" si="48"/>
        <v>10</v>
      </c>
      <c r="R819" s="358"/>
      <c r="AG819" s="296"/>
    </row>
    <row r="820" spans="1:33" hidden="1">
      <c r="A820" s="631"/>
      <c r="B820" s="252" t="s">
        <v>3020</v>
      </c>
      <c r="C820" s="363">
        <v>182</v>
      </c>
      <c r="F820" s="252">
        <v>6</v>
      </c>
      <c r="G820" s="252" t="s">
        <v>868</v>
      </c>
      <c r="H820" s="296" t="s">
        <v>2220</v>
      </c>
      <c r="I820" s="252">
        <v>3.85</v>
      </c>
      <c r="J820" s="253" t="s">
        <v>868</v>
      </c>
      <c r="K820" s="252">
        <f t="shared" si="48"/>
        <v>23.1</v>
      </c>
      <c r="R820" s="358"/>
      <c r="AG820" s="296"/>
    </row>
    <row r="821" spans="1:33" hidden="1">
      <c r="A821" s="631"/>
      <c r="B821" s="252" t="s">
        <v>3021</v>
      </c>
      <c r="C821" s="363">
        <v>444</v>
      </c>
      <c r="F821" s="252">
        <v>1</v>
      </c>
      <c r="G821" s="252" t="s">
        <v>868</v>
      </c>
      <c r="H821" s="296" t="s">
        <v>1193</v>
      </c>
      <c r="I821" s="252">
        <f>C10</f>
        <v>150</v>
      </c>
      <c r="J821" s="253" t="s">
        <v>868</v>
      </c>
      <c r="K821" s="252">
        <f t="shared" si="48"/>
        <v>150</v>
      </c>
      <c r="R821" s="358"/>
      <c r="AG821" s="296"/>
    </row>
    <row r="822" spans="1:33" hidden="1">
      <c r="A822" s="631"/>
      <c r="B822" s="252" t="s">
        <v>3022</v>
      </c>
      <c r="C822" s="363">
        <v>626</v>
      </c>
      <c r="F822" s="252">
        <v>1</v>
      </c>
      <c r="G822" s="252" t="s">
        <v>868</v>
      </c>
      <c r="H822" s="296" t="s">
        <v>1194</v>
      </c>
      <c r="I822" s="252">
        <f>C12</f>
        <v>95</v>
      </c>
      <c r="J822" s="253" t="s">
        <v>868</v>
      </c>
      <c r="K822" s="252">
        <f t="shared" si="48"/>
        <v>95</v>
      </c>
      <c r="R822" s="358"/>
      <c r="AG822" s="296"/>
    </row>
    <row r="823" spans="1:33" ht="47.25" hidden="1">
      <c r="A823" s="631">
        <v>6</v>
      </c>
      <c r="B823" s="377" t="s">
        <v>3023</v>
      </c>
      <c r="F823" s="252">
        <v>1</v>
      </c>
      <c r="G823" s="252" t="s">
        <v>868</v>
      </c>
      <c r="H823" s="296" t="s">
        <v>1195</v>
      </c>
      <c r="I823" s="252">
        <v>25</v>
      </c>
      <c r="J823" s="253" t="s">
        <v>868</v>
      </c>
      <c r="K823" s="252">
        <f t="shared" si="48"/>
        <v>25</v>
      </c>
      <c r="R823" s="358"/>
      <c r="AG823" s="296"/>
    </row>
    <row r="824" spans="1:33" hidden="1">
      <c r="A824" s="631"/>
      <c r="B824" s="252" t="s">
        <v>3024</v>
      </c>
      <c r="C824" s="375" t="s">
        <v>3157</v>
      </c>
      <c r="F824" s="252">
        <v>0.5</v>
      </c>
      <c r="G824" s="252" t="s">
        <v>868</v>
      </c>
      <c r="H824" s="296" t="s">
        <v>1196</v>
      </c>
      <c r="I824" s="252">
        <f>C13</f>
        <v>85</v>
      </c>
      <c r="J824" s="253" t="s">
        <v>868</v>
      </c>
      <c r="K824" s="252">
        <f t="shared" si="48"/>
        <v>42.5</v>
      </c>
      <c r="R824" s="358"/>
      <c r="AG824" s="296"/>
    </row>
    <row r="825" spans="1:33" hidden="1">
      <c r="A825" s="631"/>
      <c r="B825" s="252" t="s">
        <v>3025</v>
      </c>
      <c r="C825" s="363">
        <v>306</v>
      </c>
      <c r="G825" s="252" t="s">
        <v>449</v>
      </c>
      <c r="H825" s="296" t="s">
        <v>2139</v>
      </c>
      <c r="J825" s="253" t="s">
        <v>449</v>
      </c>
      <c r="K825" s="252">
        <v>0.5</v>
      </c>
      <c r="R825" s="358"/>
      <c r="AG825" s="296"/>
    </row>
    <row r="826" spans="1:33" ht="31.5" hidden="1">
      <c r="A826" s="631"/>
      <c r="B826" s="268" t="s">
        <v>3026</v>
      </c>
      <c r="C826" s="363">
        <v>450</v>
      </c>
      <c r="K826" s="358" t="s">
        <v>1586</v>
      </c>
      <c r="R826" s="358"/>
      <c r="AG826" s="296"/>
    </row>
    <row r="827" spans="1:33" ht="47.25" hidden="1">
      <c r="A827" s="631">
        <v>7</v>
      </c>
      <c r="B827" s="377" t="s">
        <v>2555</v>
      </c>
      <c r="H827" s="253" t="s">
        <v>283</v>
      </c>
      <c r="K827" s="252" t="e">
        <f>SUM(K815:K825)</f>
        <v>#REF!</v>
      </c>
      <c r="R827" s="358"/>
      <c r="AG827" s="296"/>
    </row>
    <row r="828" spans="1:33" hidden="1">
      <c r="A828" s="631"/>
      <c r="B828" s="252" t="s">
        <v>3025</v>
      </c>
      <c r="C828" s="363">
        <v>575</v>
      </c>
      <c r="K828" s="358" t="s">
        <v>1586</v>
      </c>
      <c r="R828" s="358"/>
      <c r="AG828" s="296"/>
    </row>
    <row r="829" spans="1:33" ht="31.5" hidden="1">
      <c r="A829" s="631"/>
      <c r="B829" s="268" t="s">
        <v>3026</v>
      </c>
      <c r="C829" s="363">
        <v>750</v>
      </c>
      <c r="R829" s="358"/>
      <c r="AG829" s="296"/>
    </row>
    <row r="830" spans="1:33" ht="47.25" hidden="1">
      <c r="A830" s="631">
        <v>8</v>
      </c>
      <c r="B830" s="377" t="s">
        <v>2556</v>
      </c>
      <c r="R830" s="358"/>
      <c r="AG830" s="296"/>
    </row>
    <row r="831" spans="1:33" hidden="1">
      <c r="A831" s="631"/>
      <c r="B831" s="252" t="s">
        <v>3458</v>
      </c>
      <c r="C831" s="363">
        <v>850</v>
      </c>
      <c r="G831" s="252" t="s">
        <v>1907</v>
      </c>
      <c r="H831" s="253" t="s">
        <v>1780</v>
      </c>
      <c r="R831" s="296" t="s">
        <v>975</v>
      </c>
      <c r="AG831" s="296" t="s">
        <v>2259</v>
      </c>
    </row>
    <row r="832" spans="1:33" hidden="1">
      <c r="A832" s="631"/>
      <c r="B832" s="252" t="s">
        <v>2566</v>
      </c>
      <c r="C832" s="363">
        <v>1050</v>
      </c>
      <c r="H832" s="253" t="s">
        <v>1781</v>
      </c>
      <c r="N832" s="296" t="s">
        <v>316</v>
      </c>
      <c r="O832" s="296" t="s">
        <v>38</v>
      </c>
      <c r="AG832" s="296" t="s">
        <v>2259</v>
      </c>
    </row>
    <row r="833" spans="1:33" ht="69" hidden="1" customHeight="1">
      <c r="A833" s="631">
        <v>9</v>
      </c>
      <c r="B833" s="377" t="s">
        <v>2567</v>
      </c>
      <c r="F833" s="373">
        <v>3.7600000000000001E-2</v>
      </c>
      <c r="G833" s="252" t="s">
        <v>869</v>
      </c>
      <c r="H833" s="296" t="s">
        <v>2073</v>
      </c>
      <c r="I833" s="252" t="e">
        <f>K781</f>
        <v>#REF!</v>
      </c>
      <c r="J833" s="253" t="s">
        <v>869</v>
      </c>
      <c r="K833" s="252" t="e">
        <f>F833*I833</f>
        <v>#REF!</v>
      </c>
      <c r="O833" s="296" t="s">
        <v>1763</v>
      </c>
      <c r="AG833" s="296" t="s">
        <v>2259</v>
      </c>
    </row>
    <row r="834" spans="1:33" hidden="1">
      <c r="A834" s="631"/>
      <c r="B834" s="252" t="s">
        <v>2568</v>
      </c>
      <c r="C834" s="375"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631"/>
      <c r="B835" s="252" t="s">
        <v>2569</v>
      </c>
      <c r="C835" s="386"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631">
        <v>10</v>
      </c>
      <c r="B836" s="377" t="s">
        <v>3027</v>
      </c>
      <c r="F836" s="252">
        <v>12</v>
      </c>
      <c r="G836" s="252" t="s">
        <v>868</v>
      </c>
      <c r="H836" s="296" t="s">
        <v>1187</v>
      </c>
      <c r="I836" s="252">
        <v>3.85</v>
      </c>
      <c r="J836" s="253" t="s">
        <v>868</v>
      </c>
      <c r="K836" s="252">
        <f t="shared" si="49"/>
        <v>46.2</v>
      </c>
      <c r="O836" s="296" t="s">
        <v>986</v>
      </c>
      <c r="AG836" s="296" t="s">
        <v>2259</v>
      </c>
    </row>
    <row r="837" spans="1:33" hidden="1">
      <c r="A837" s="631"/>
      <c r="B837" s="252" t="s">
        <v>3028</v>
      </c>
      <c r="C837" s="363"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631"/>
      <c r="B838" s="252" t="s">
        <v>2569</v>
      </c>
      <c r="C838" s="363"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631"/>
      <c r="B839" s="252" t="s">
        <v>3029</v>
      </c>
      <c r="C839" s="363"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631"/>
      <c r="B840" s="252" t="s">
        <v>3030</v>
      </c>
      <c r="C840" s="375"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631"/>
      <c r="B841" s="252" t="s">
        <v>3031</v>
      </c>
      <c r="C841" s="363">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631"/>
      <c r="B842" s="268" t="s">
        <v>3032</v>
      </c>
      <c r="C842" s="363">
        <v>1930</v>
      </c>
      <c r="H842" s="296"/>
      <c r="N842" s="296"/>
      <c r="O842" s="296"/>
      <c r="AG842" s="296"/>
    </row>
    <row r="843" spans="1:33" ht="37.5" hidden="1" customHeight="1">
      <c r="A843" s="631"/>
      <c r="B843" s="260" t="s">
        <v>2841</v>
      </c>
      <c r="C843" s="363">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631">
        <v>11</v>
      </c>
      <c r="B844" s="377" t="s">
        <v>2680</v>
      </c>
      <c r="G844" s="252" t="s">
        <v>449</v>
      </c>
      <c r="H844" s="296" t="s">
        <v>2139</v>
      </c>
      <c r="J844" s="253" t="s">
        <v>449</v>
      </c>
      <c r="K844" s="252">
        <v>0.5</v>
      </c>
      <c r="N844" s="296" t="s">
        <v>868</v>
      </c>
      <c r="O844" s="296" t="s">
        <v>1319</v>
      </c>
      <c r="P844" s="252">
        <v>0.5</v>
      </c>
      <c r="R844" s="252" t="e">
        <f>(#VALUE!*P844)</f>
        <v>#VALUE!</v>
      </c>
      <c r="AG844" s="296" t="s">
        <v>2259</v>
      </c>
    </row>
    <row r="845" spans="1:33" hidden="1">
      <c r="A845" s="631"/>
      <c r="B845" s="252" t="s">
        <v>2681</v>
      </c>
      <c r="C845" s="363">
        <v>642</v>
      </c>
      <c r="K845" s="358" t="s">
        <v>1586</v>
      </c>
      <c r="R845" s="252">
        <v>0.97</v>
      </c>
      <c r="AG845" s="296" t="s">
        <v>2259</v>
      </c>
    </row>
    <row r="846" spans="1:33" ht="70.5" hidden="1" customHeight="1">
      <c r="A846" s="631">
        <v>12</v>
      </c>
      <c r="B846" s="377" t="s">
        <v>2682</v>
      </c>
      <c r="H846" s="253" t="s">
        <v>283</v>
      </c>
      <c r="K846" s="252" t="e">
        <f>SUM(K833:K844)</f>
        <v>#REF!</v>
      </c>
      <c r="R846" s="358" t="s">
        <v>1586</v>
      </c>
      <c r="AG846" s="296" t="s">
        <v>2259</v>
      </c>
    </row>
    <row r="847" spans="1:33" hidden="1">
      <c r="A847" s="631"/>
      <c r="B847" s="252" t="s">
        <v>2681</v>
      </c>
      <c r="C847" s="363">
        <v>864</v>
      </c>
      <c r="K847" s="358" t="s">
        <v>1586</v>
      </c>
      <c r="O847" s="253" t="s">
        <v>1320</v>
      </c>
      <c r="R847" s="252" t="e">
        <f>SUM(R834:R845)</f>
        <v>#VALUE!</v>
      </c>
      <c r="AG847" s="296" t="s">
        <v>2259</v>
      </c>
    </row>
    <row r="848" spans="1:33" ht="97.5" hidden="1" customHeight="1">
      <c r="A848" s="631">
        <v>13</v>
      </c>
      <c r="B848" s="377" t="s">
        <v>2683</v>
      </c>
      <c r="F848" s="253"/>
      <c r="G848" s="252" t="s">
        <v>520</v>
      </c>
      <c r="H848" s="253" t="s">
        <v>563</v>
      </c>
      <c r="R848" s="358" t="s">
        <v>1586</v>
      </c>
      <c r="AG848" s="296" t="s">
        <v>2259</v>
      </c>
    </row>
    <row r="849" spans="1:18" hidden="1">
      <c r="A849" s="631"/>
      <c r="B849" s="252" t="s">
        <v>2684</v>
      </c>
      <c r="C849" s="363">
        <v>3100</v>
      </c>
      <c r="H849" s="253" t="s">
        <v>1781</v>
      </c>
    </row>
    <row r="850" spans="1:18" hidden="1">
      <c r="A850" s="631"/>
      <c r="B850" s="268" t="s">
        <v>2685</v>
      </c>
      <c r="C850" s="363">
        <v>3267</v>
      </c>
      <c r="F850" s="373">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631"/>
      <c r="B851" s="260" t="s">
        <v>2686</v>
      </c>
      <c r="C851" s="363">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631">
        <v>14</v>
      </c>
      <c r="B852" s="258" t="s">
        <v>2837</v>
      </c>
      <c r="H852" s="296"/>
      <c r="O852" s="296"/>
    </row>
    <row r="853" spans="1:18" hidden="1">
      <c r="A853" s="631"/>
      <c r="B853" s="268" t="s">
        <v>2838</v>
      </c>
      <c r="C853" s="375" t="s">
        <v>3157</v>
      </c>
      <c r="F853" s="252">
        <v>3</v>
      </c>
      <c r="G853" s="252" t="s">
        <v>868</v>
      </c>
      <c r="H853" s="296" t="s">
        <v>1186</v>
      </c>
      <c r="I853" s="252">
        <v>16.5</v>
      </c>
      <c r="J853" s="253" t="s">
        <v>868</v>
      </c>
      <c r="K853" s="252">
        <f t="shared" ref="K853:K860" si="50">F853*I853</f>
        <v>49.5</v>
      </c>
      <c r="O853" s="358" t="s">
        <v>1586</v>
      </c>
      <c r="P853" s="358" t="s">
        <v>1586</v>
      </c>
    </row>
    <row r="854" spans="1:18" hidden="1">
      <c r="A854" s="631"/>
      <c r="B854" s="252" t="s">
        <v>2467</v>
      </c>
      <c r="C854" s="375" t="s">
        <v>3157</v>
      </c>
      <c r="F854" s="252">
        <v>12</v>
      </c>
      <c r="G854" s="252" t="s">
        <v>868</v>
      </c>
      <c r="H854" s="296" t="s">
        <v>1187</v>
      </c>
      <c r="I854" s="252">
        <v>3.85</v>
      </c>
      <c r="J854" s="253" t="s">
        <v>868</v>
      </c>
      <c r="K854" s="252">
        <f t="shared" si="50"/>
        <v>46.2</v>
      </c>
      <c r="O854" s="296" t="s">
        <v>581</v>
      </c>
    </row>
    <row r="855" spans="1:18" hidden="1">
      <c r="A855" s="631"/>
      <c r="B855" s="252" t="s">
        <v>2468</v>
      </c>
      <c r="C855" s="375"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631">
        <v>15</v>
      </c>
      <c r="B856" s="258" t="s">
        <v>2469</v>
      </c>
      <c r="C856" s="375"/>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631"/>
      <c r="B857" s="252" t="s">
        <v>2470</v>
      </c>
      <c r="C857" s="375" t="s">
        <v>3157</v>
      </c>
      <c r="F857" s="252">
        <v>1</v>
      </c>
      <c r="G857" s="252" t="s">
        <v>868</v>
      </c>
      <c r="H857" s="296" t="s">
        <v>1193</v>
      </c>
      <c r="I857" s="252">
        <f>C10</f>
        <v>150</v>
      </c>
      <c r="J857" s="253" t="s">
        <v>868</v>
      </c>
      <c r="K857" s="252">
        <f t="shared" si="50"/>
        <v>150</v>
      </c>
      <c r="R857" s="358" t="s">
        <v>1586</v>
      </c>
    </row>
    <row r="858" spans="1:18" hidden="1">
      <c r="A858" s="631"/>
      <c r="B858" s="252" t="s">
        <v>2471</v>
      </c>
      <c r="C858" s="375" t="s">
        <v>3157</v>
      </c>
      <c r="F858" s="252">
        <v>1</v>
      </c>
      <c r="G858" s="252" t="s">
        <v>868</v>
      </c>
      <c r="H858" s="296" t="s">
        <v>1194</v>
      </c>
      <c r="I858" s="252">
        <f>C12</f>
        <v>95</v>
      </c>
      <c r="J858" s="253" t="s">
        <v>868</v>
      </c>
      <c r="K858" s="252">
        <f t="shared" si="50"/>
        <v>95</v>
      </c>
      <c r="O858" s="253" t="s">
        <v>1162</v>
      </c>
      <c r="R858" s="252">
        <f>SUM(R855:R856)</f>
        <v>96.25</v>
      </c>
    </row>
    <row r="859" spans="1:18" hidden="1">
      <c r="A859" s="631"/>
      <c r="B859" s="268" t="s">
        <v>2472</v>
      </c>
      <c r="C859" s="375" t="s">
        <v>3157</v>
      </c>
      <c r="F859" s="252">
        <v>1</v>
      </c>
      <c r="G859" s="252" t="s">
        <v>868</v>
      </c>
      <c r="H859" s="252" t="str">
        <f>H841</f>
        <v>MOULDING CHARGES</v>
      </c>
      <c r="I859" s="252">
        <v>25</v>
      </c>
      <c r="J859" s="253" t="s">
        <v>868</v>
      </c>
      <c r="K859" s="252">
        <f t="shared" si="50"/>
        <v>25</v>
      </c>
      <c r="R859" s="358" t="s">
        <v>1586</v>
      </c>
    </row>
    <row r="860" spans="1:18" hidden="1">
      <c r="A860" s="631">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63">
        <v>10</v>
      </c>
      <c r="G861" s="252" t="s">
        <v>449</v>
      </c>
      <c r="H861" s="296" t="s">
        <v>2139</v>
      </c>
      <c r="J861" s="253" t="s">
        <v>449</v>
      </c>
      <c r="K861" s="252">
        <v>0.5</v>
      </c>
      <c r="R861" s="358" t="s">
        <v>1586</v>
      </c>
    </row>
    <row r="862" spans="1:18" hidden="1">
      <c r="A862" s="251"/>
      <c r="B862" s="252" t="s">
        <v>2398</v>
      </c>
      <c r="C862" s="363">
        <v>10</v>
      </c>
      <c r="K862" s="358" t="s">
        <v>1586</v>
      </c>
    </row>
    <row r="863" spans="1:18" ht="31.5" hidden="1">
      <c r="A863" s="631">
        <v>17</v>
      </c>
      <c r="B863" s="258" t="s">
        <v>2399</v>
      </c>
      <c r="H863" s="253" t="s">
        <v>283</v>
      </c>
      <c r="K863" s="252" t="e">
        <f>SUM(K850:K861)</f>
        <v>#REF!</v>
      </c>
    </row>
    <row r="864" spans="1:18" hidden="1">
      <c r="A864" s="631"/>
      <c r="B864" s="252" t="s">
        <v>2400</v>
      </c>
      <c r="C864" s="363">
        <v>170</v>
      </c>
      <c r="K864" s="358" t="s">
        <v>1586</v>
      </c>
    </row>
    <row r="865" spans="1:33" hidden="1">
      <c r="A865" s="631"/>
      <c r="B865" s="252" t="s">
        <v>2401</v>
      </c>
      <c r="C865" s="363">
        <v>170</v>
      </c>
    </row>
    <row r="866" spans="1:33" hidden="1">
      <c r="A866" s="631"/>
      <c r="B866" s="252" t="s">
        <v>3229</v>
      </c>
      <c r="C866" s="363">
        <v>295</v>
      </c>
    </row>
    <row r="867" spans="1:33" ht="31.5" hidden="1">
      <c r="A867" s="631"/>
      <c r="B867" s="268" t="s">
        <v>3230</v>
      </c>
      <c r="C867" s="363">
        <v>240</v>
      </c>
    </row>
    <row r="868" spans="1:33" ht="142.5" hidden="1" customHeight="1">
      <c r="A868" s="631"/>
      <c r="F868" s="380">
        <v>21.3</v>
      </c>
      <c r="G868" s="252" t="s">
        <v>2251</v>
      </c>
      <c r="H868" s="381" t="s">
        <v>1727</v>
      </c>
      <c r="AG868" s="296" t="s">
        <v>2259</v>
      </c>
    </row>
    <row r="869" spans="1:33" hidden="1">
      <c r="A869" s="631"/>
      <c r="B869" s="252" t="s">
        <v>3231</v>
      </c>
      <c r="C869" s="375" t="s">
        <v>3232</v>
      </c>
      <c r="H869" s="296" t="s">
        <v>2260</v>
      </c>
      <c r="M869" s="252">
        <v>11.64</v>
      </c>
      <c r="N869" s="296" t="s">
        <v>826</v>
      </c>
      <c r="O869" s="296" t="s">
        <v>1499</v>
      </c>
      <c r="P869" s="252">
        <v>13.66</v>
      </c>
      <c r="R869" s="252">
        <f>(M869*P869)</f>
        <v>159</v>
      </c>
      <c r="AG869" s="296" t="s">
        <v>2259</v>
      </c>
    </row>
    <row r="870" spans="1:33" hidden="1">
      <c r="A870" s="631"/>
      <c r="B870" s="252" t="s">
        <v>3233</v>
      </c>
      <c r="C870" s="375" t="s">
        <v>3232</v>
      </c>
      <c r="H870" s="358" t="s">
        <v>1586</v>
      </c>
      <c r="M870" s="316">
        <v>1.62</v>
      </c>
      <c r="N870" s="296" t="s">
        <v>609</v>
      </c>
      <c r="O870" s="296" t="s">
        <v>1500</v>
      </c>
      <c r="P870" s="252">
        <v>25.46</v>
      </c>
      <c r="R870" s="252">
        <f>(M870*P870)</f>
        <v>41.25</v>
      </c>
      <c r="AG870" s="296" t="s">
        <v>2259</v>
      </c>
    </row>
    <row r="871" spans="1:33" hidden="1">
      <c r="A871" s="631"/>
      <c r="B871" s="252" t="s">
        <v>3234</v>
      </c>
      <c r="C871" s="375" t="s">
        <v>3232</v>
      </c>
      <c r="M871" s="252">
        <v>48</v>
      </c>
      <c r="N871" s="296" t="s">
        <v>868</v>
      </c>
      <c r="O871" s="296" t="s">
        <v>1319</v>
      </c>
      <c r="P871" s="252">
        <v>0.5</v>
      </c>
      <c r="R871" s="252">
        <f>(M871*P871)</f>
        <v>24</v>
      </c>
      <c r="AG871" s="296" t="s">
        <v>2259</v>
      </c>
    </row>
    <row r="872" spans="1:33" hidden="1">
      <c r="A872" s="631"/>
      <c r="B872" s="252" t="s">
        <v>3235</v>
      </c>
      <c r="C872" s="375" t="s">
        <v>3232</v>
      </c>
      <c r="H872" s="296" t="s">
        <v>2260</v>
      </c>
      <c r="J872" s="253" t="s">
        <v>609</v>
      </c>
      <c r="K872" s="252">
        <v>1450</v>
      </c>
      <c r="R872" s="252">
        <v>0.23</v>
      </c>
      <c r="AG872" s="296" t="s">
        <v>2259</v>
      </c>
    </row>
    <row r="873" spans="1:33" hidden="1">
      <c r="A873" s="631">
        <v>18</v>
      </c>
      <c r="B873" s="274" t="s">
        <v>3236</v>
      </c>
      <c r="F873" s="296" t="s">
        <v>975</v>
      </c>
    </row>
    <row r="874" spans="1:33" hidden="1">
      <c r="A874" s="631"/>
      <c r="B874" s="252" t="s">
        <v>3237</v>
      </c>
      <c r="C874" s="363">
        <v>113</v>
      </c>
      <c r="H874" s="253" t="s">
        <v>2261</v>
      </c>
      <c r="K874" s="358" t="s">
        <v>2055</v>
      </c>
      <c r="R874" s="358" t="s">
        <v>1586</v>
      </c>
      <c r="AG874" s="296" t="s">
        <v>2259</v>
      </c>
    </row>
    <row r="875" spans="1:33" hidden="1">
      <c r="A875" s="631"/>
      <c r="B875" s="252" t="s">
        <v>3238</v>
      </c>
      <c r="C875" s="363">
        <v>135</v>
      </c>
      <c r="H875" s="253" t="s">
        <v>1368</v>
      </c>
      <c r="O875" s="253" t="s">
        <v>1320</v>
      </c>
      <c r="R875" s="252">
        <f>SUM(R869:R872)</f>
        <v>224.48</v>
      </c>
      <c r="AG875" s="296" t="s">
        <v>2259</v>
      </c>
    </row>
    <row r="876" spans="1:33" hidden="1">
      <c r="A876" s="631"/>
      <c r="B876" s="252" t="s">
        <v>3239</v>
      </c>
      <c r="C876" s="363">
        <v>180</v>
      </c>
      <c r="F876" s="366">
        <v>21.2</v>
      </c>
      <c r="H876" s="274" t="s">
        <v>1728</v>
      </c>
      <c r="AG876" s="296" t="s">
        <v>2259</v>
      </c>
    </row>
    <row r="877" spans="1:33" hidden="1">
      <c r="A877" s="631"/>
      <c r="B877" s="252" t="s">
        <v>3240</v>
      </c>
      <c r="C877" s="363">
        <v>248</v>
      </c>
      <c r="F877" s="366"/>
      <c r="H877" s="358" t="s">
        <v>1586</v>
      </c>
      <c r="AG877" s="296"/>
    </row>
    <row r="878" spans="1:33" hidden="1">
      <c r="A878" s="631">
        <v>19</v>
      </c>
      <c r="B878" s="252" t="s">
        <v>3241</v>
      </c>
      <c r="C878" s="375" t="s">
        <v>3232</v>
      </c>
      <c r="G878" s="252" t="s">
        <v>154</v>
      </c>
      <c r="H878" s="296" t="s">
        <v>1369</v>
      </c>
      <c r="K878" s="296" t="s">
        <v>975</v>
      </c>
      <c r="AG878" s="296" t="s">
        <v>2259</v>
      </c>
    </row>
    <row r="879" spans="1:33" hidden="1">
      <c r="A879" s="631"/>
      <c r="B879" s="252" t="s">
        <v>3242</v>
      </c>
      <c r="C879" s="375" t="s">
        <v>3232</v>
      </c>
      <c r="H879" s="358" t="s">
        <v>1586</v>
      </c>
      <c r="K879" s="296" t="s">
        <v>975</v>
      </c>
      <c r="AG879" s="296" t="s">
        <v>2259</v>
      </c>
    </row>
    <row r="880" spans="1:33" hidden="1">
      <c r="A880" s="631">
        <v>20</v>
      </c>
      <c r="B880" s="252" t="s">
        <v>2687</v>
      </c>
      <c r="C880" s="375" t="s">
        <v>3232</v>
      </c>
      <c r="F880" s="252">
        <v>1</v>
      </c>
      <c r="G880" s="252" t="s">
        <v>869</v>
      </c>
      <c r="H880" s="296" t="s">
        <v>1568</v>
      </c>
      <c r="I880" s="252">
        <f>C30</f>
        <v>3035</v>
      </c>
      <c r="J880" s="253" t="s">
        <v>869</v>
      </c>
      <c r="K880" s="252">
        <f>(F880*I880)</f>
        <v>3035</v>
      </c>
      <c r="AG880" s="296" t="s">
        <v>2259</v>
      </c>
    </row>
    <row r="881" spans="1:33" hidden="1">
      <c r="A881" s="631">
        <v>21</v>
      </c>
      <c r="B881" s="252" t="s">
        <v>2688</v>
      </c>
      <c r="C881" s="386" t="s">
        <v>3232</v>
      </c>
      <c r="F881" s="252">
        <v>1</v>
      </c>
      <c r="G881" s="252" t="s">
        <v>869</v>
      </c>
      <c r="H881" s="296" t="s">
        <v>1369</v>
      </c>
      <c r="I881" s="252">
        <f>C88</f>
        <v>65420</v>
      </c>
      <c r="J881" s="253" t="s">
        <v>869</v>
      </c>
      <c r="K881" s="252">
        <f>(F881*I881)</f>
        <v>65420</v>
      </c>
      <c r="AG881" s="296" t="s">
        <v>2259</v>
      </c>
    </row>
    <row r="882" spans="1:33" hidden="1">
      <c r="A882" s="631">
        <v>22</v>
      </c>
      <c r="B882" s="252" t="s">
        <v>2689</v>
      </c>
      <c r="C882" s="386" t="s">
        <v>3232</v>
      </c>
      <c r="K882" s="358" t="s">
        <v>2055</v>
      </c>
      <c r="AG882" s="296" t="s">
        <v>2259</v>
      </c>
    </row>
    <row r="883" spans="1:33" hidden="1">
      <c r="A883" s="631">
        <v>23</v>
      </c>
      <c r="B883" s="274" t="s">
        <v>2690</v>
      </c>
      <c r="H883" s="296" t="s">
        <v>1569</v>
      </c>
      <c r="K883" s="252">
        <f>SUM(K880:K881)</f>
        <v>68455</v>
      </c>
      <c r="AG883" s="296" t="s">
        <v>2259</v>
      </c>
    </row>
    <row r="884" spans="1:33" hidden="1">
      <c r="A884" s="631"/>
      <c r="B884" s="252" t="s">
        <v>2691</v>
      </c>
      <c r="C884" s="375" t="s">
        <v>3232</v>
      </c>
      <c r="K884" s="358" t="s">
        <v>2055</v>
      </c>
      <c r="AG884" s="296" t="s">
        <v>2259</v>
      </c>
    </row>
    <row r="885" spans="1:33" hidden="1">
      <c r="A885" s="631"/>
      <c r="B885" s="252" t="s">
        <v>2692</v>
      </c>
      <c r="C885" s="375" t="s">
        <v>3232</v>
      </c>
      <c r="G885" s="252" t="s">
        <v>1555</v>
      </c>
      <c r="H885" s="296" t="s">
        <v>1570</v>
      </c>
      <c r="K885" s="296" t="s">
        <v>975</v>
      </c>
      <c r="AG885" s="296" t="s">
        <v>2259</v>
      </c>
    </row>
    <row r="886" spans="1:33" hidden="1">
      <c r="A886" s="631">
        <v>24</v>
      </c>
      <c r="B886" s="274" t="s">
        <v>2693</v>
      </c>
      <c r="C886" s="363">
        <v>18</v>
      </c>
      <c r="H886" s="358" t="s">
        <v>1586</v>
      </c>
      <c r="AG886" s="296" t="s">
        <v>2259</v>
      </c>
    </row>
    <row r="887" spans="1:33" ht="51" hidden="1" customHeight="1">
      <c r="A887" s="631">
        <v>25</v>
      </c>
      <c r="B887" s="260" t="s">
        <v>2694</v>
      </c>
      <c r="C887" s="363">
        <v>300</v>
      </c>
      <c r="F887" s="252">
        <v>1</v>
      </c>
      <c r="G887" s="252" t="s">
        <v>869</v>
      </c>
      <c r="H887" s="296" t="s">
        <v>1568</v>
      </c>
      <c r="I887" s="252">
        <f>C30</f>
        <v>3035</v>
      </c>
      <c r="J887" s="253" t="s">
        <v>869</v>
      </c>
      <c r="K887" s="252">
        <f>(F887*I887)</f>
        <v>3035</v>
      </c>
      <c r="AG887" s="296" t="s">
        <v>2259</v>
      </c>
    </row>
    <row r="888" spans="1:33" hidden="1">
      <c r="A888" s="631">
        <v>26</v>
      </c>
      <c r="B888" s="252" t="s">
        <v>2695</v>
      </c>
      <c r="C888" s="363">
        <v>15</v>
      </c>
      <c r="F888" s="252">
        <v>1</v>
      </c>
      <c r="G888" s="252" t="s">
        <v>869</v>
      </c>
      <c r="H888" s="296" t="s">
        <v>1369</v>
      </c>
      <c r="I888" s="252">
        <f>C89</f>
        <v>57165</v>
      </c>
      <c r="J888" s="253" t="s">
        <v>869</v>
      </c>
      <c r="K888" s="252">
        <f>(F888*I888)</f>
        <v>57165</v>
      </c>
      <c r="AG888" s="296" t="s">
        <v>2259</v>
      </c>
    </row>
    <row r="889" spans="1:33" ht="36" hidden="1" customHeight="1">
      <c r="A889" s="631">
        <v>27</v>
      </c>
      <c r="B889" s="260" t="s">
        <v>2696</v>
      </c>
      <c r="C889" s="363">
        <v>178</v>
      </c>
      <c r="K889" s="358" t="s">
        <v>2055</v>
      </c>
      <c r="AG889" s="296" t="s">
        <v>2259</v>
      </c>
    </row>
    <row r="890" spans="1:33" ht="41.25" hidden="1" customHeight="1">
      <c r="A890" s="631"/>
      <c r="B890" s="260" t="s">
        <v>2697</v>
      </c>
      <c r="C890" s="363">
        <v>1120</v>
      </c>
      <c r="H890" s="296" t="s">
        <v>1571</v>
      </c>
      <c r="K890" s="252">
        <f>SUM(K887:K888)</f>
        <v>60200</v>
      </c>
      <c r="AG890" s="296" t="s">
        <v>2259</v>
      </c>
    </row>
    <row r="891" spans="1:33" ht="39" hidden="1" customHeight="1">
      <c r="A891" s="631"/>
      <c r="B891" s="258" t="s">
        <v>2698</v>
      </c>
      <c r="K891" s="358" t="s">
        <v>2055</v>
      </c>
      <c r="AG891" s="296" t="s">
        <v>2259</v>
      </c>
    </row>
    <row r="892" spans="1:33" hidden="1">
      <c r="A892" s="631"/>
      <c r="B892" s="260" t="s">
        <v>3414</v>
      </c>
      <c r="C892" s="375" t="s">
        <v>3232</v>
      </c>
      <c r="AG892" s="296" t="s">
        <v>2259</v>
      </c>
    </row>
    <row r="893" spans="1:33" hidden="1">
      <c r="A893" s="631"/>
      <c r="B893" s="260" t="s">
        <v>2557</v>
      </c>
      <c r="C893" s="375" t="s">
        <v>3232</v>
      </c>
      <c r="F893" s="253" t="s">
        <v>564</v>
      </c>
      <c r="G893" s="252" t="s">
        <v>2251</v>
      </c>
      <c r="H893" s="296" t="s">
        <v>255</v>
      </c>
      <c r="AG893" s="296" t="s">
        <v>2259</v>
      </c>
    </row>
    <row r="894" spans="1:33" hidden="1">
      <c r="A894" s="631"/>
      <c r="B894" s="260" t="s">
        <v>2558</v>
      </c>
      <c r="C894" s="375" t="s">
        <v>3232</v>
      </c>
      <c r="H894" s="296" t="s">
        <v>256</v>
      </c>
      <c r="AG894" s="296" t="s">
        <v>2259</v>
      </c>
    </row>
    <row r="895" spans="1:33" ht="31.5" hidden="1">
      <c r="A895" s="631"/>
      <c r="B895" s="260" t="s">
        <v>2559</v>
      </c>
      <c r="C895" s="363">
        <v>120</v>
      </c>
      <c r="H895" s="296" t="s">
        <v>1470</v>
      </c>
      <c r="AG895" s="296" t="s">
        <v>2259</v>
      </c>
    </row>
    <row r="896" spans="1:33" hidden="1">
      <c r="A896" s="631"/>
      <c r="B896" s="258" t="s">
        <v>2560</v>
      </c>
      <c r="H896" s="358" t="s">
        <v>1586</v>
      </c>
      <c r="AG896" s="296" t="s">
        <v>2259</v>
      </c>
    </row>
    <row r="897" spans="1:33" hidden="1">
      <c r="A897" s="631"/>
      <c r="B897" s="260" t="s">
        <v>2561</v>
      </c>
      <c r="C897" s="363">
        <v>45</v>
      </c>
      <c r="H897" s="296" t="s">
        <v>89</v>
      </c>
    </row>
    <row r="898" spans="1:33" hidden="1">
      <c r="A898" s="631"/>
      <c r="B898" s="260" t="s">
        <v>2562</v>
      </c>
      <c r="C898" s="363">
        <v>18</v>
      </c>
      <c r="H898" s="296" t="s">
        <v>90</v>
      </c>
    </row>
    <row r="899" spans="1:33" hidden="1">
      <c r="A899" s="631"/>
      <c r="B899" s="260" t="s">
        <v>2563</v>
      </c>
      <c r="C899" s="363">
        <v>450</v>
      </c>
      <c r="J899" s="253" t="s">
        <v>1586</v>
      </c>
    </row>
    <row r="900" spans="1:33" hidden="1">
      <c r="A900" s="631"/>
      <c r="B900" s="260" t="s">
        <v>2564</v>
      </c>
      <c r="C900" s="363">
        <v>650</v>
      </c>
      <c r="H900" s="296" t="s">
        <v>1172</v>
      </c>
    </row>
    <row r="901" spans="1:33" ht="47.25" hidden="1">
      <c r="A901" s="631"/>
      <c r="B901" s="260" t="s">
        <v>2565</v>
      </c>
      <c r="C901" s="363">
        <v>5000</v>
      </c>
      <c r="H901" s="296" t="s">
        <v>2006</v>
      </c>
      <c r="K901" s="373">
        <v>2.4299999999999999E-2</v>
      </c>
    </row>
    <row r="902" spans="1:33" ht="63" hidden="1">
      <c r="A902" s="631"/>
      <c r="B902" s="260" t="s">
        <v>2584</v>
      </c>
      <c r="C902" s="363">
        <v>6750</v>
      </c>
      <c r="J902" s="253" t="s">
        <v>975</v>
      </c>
      <c r="K902" s="358" t="s">
        <v>1586</v>
      </c>
    </row>
    <row r="903" spans="1:33" ht="47.25" hidden="1">
      <c r="A903" s="631"/>
      <c r="B903" s="260" t="s">
        <v>2464</v>
      </c>
      <c r="C903" s="363">
        <v>5800</v>
      </c>
      <c r="H903" s="296" t="s">
        <v>2007</v>
      </c>
      <c r="J903" s="392" t="s">
        <v>975</v>
      </c>
      <c r="K903" s="373">
        <v>1.47E-2</v>
      </c>
    </row>
    <row r="904" spans="1:33" hidden="1">
      <c r="A904" s="631"/>
      <c r="B904" s="260" t="s">
        <v>2465</v>
      </c>
      <c r="H904" s="296" t="s">
        <v>1766</v>
      </c>
      <c r="J904" s="253" t="s">
        <v>975</v>
      </c>
      <c r="K904" s="373">
        <v>4.5999999999999999E-3</v>
      </c>
    </row>
    <row r="905" spans="1:33" ht="47.25" hidden="1">
      <c r="A905" s="631"/>
      <c r="B905" s="260" t="s">
        <v>2466</v>
      </c>
      <c r="K905" s="358" t="s">
        <v>1586</v>
      </c>
    </row>
    <row r="906" spans="1:33" ht="47.25" hidden="1">
      <c r="A906" s="631"/>
      <c r="B906" s="260" t="s">
        <v>2466</v>
      </c>
      <c r="K906" s="373">
        <v>1.9300000000000001E-2</v>
      </c>
    </row>
    <row r="907" spans="1:33" ht="47.25" hidden="1">
      <c r="A907" s="631"/>
      <c r="B907" s="260" t="s">
        <v>2479</v>
      </c>
      <c r="K907" s="358" t="s">
        <v>1586</v>
      </c>
    </row>
    <row r="908" spans="1:33" hidden="1">
      <c r="A908" s="631"/>
      <c r="B908" s="260" t="s">
        <v>2480</v>
      </c>
    </row>
    <row r="909" spans="1:33" hidden="1">
      <c r="A909" s="631"/>
      <c r="B909" s="260" t="s">
        <v>2528</v>
      </c>
    </row>
    <row r="910" spans="1:33" hidden="1">
      <c r="A910" s="631"/>
      <c r="B910" s="260" t="s">
        <v>3430</v>
      </c>
      <c r="F910" s="373">
        <v>1.14E-2</v>
      </c>
      <c r="G910" s="252" t="s">
        <v>869</v>
      </c>
      <c r="H910" s="296" t="s">
        <v>308</v>
      </c>
      <c r="I910" s="252">
        <f>C88</f>
        <v>65420</v>
      </c>
      <c r="J910" s="253" t="s">
        <v>869</v>
      </c>
      <c r="K910" s="252">
        <f>(F910*I910)</f>
        <v>745.79</v>
      </c>
      <c r="AG910" s="296" t="s">
        <v>2259</v>
      </c>
    </row>
    <row r="911" spans="1:33" hidden="1">
      <c r="A911" s="631"/>
      <c r="B911" s="260" t="s">
        <v>2542</v>
      </c>
      <c r="F911" s="373">
        <v>2.4299999999999999E-2</v>
      </c>
      <c r="G911" s="252" t="s">
        <v>869</v>
      </c>
      <c r="H911" s="296" t="s">
        <v>309</v>
      </c>
      <c r="I911" s="252">
        <f>C89</f>
        <v>57165</v>
      </c>
      <c r="J911" s="253" t="s">
        <v>869</v>
      </c>
      <c r="K911" s="252">
        <f>(F911*I911)</f>
        <v>1389.11</v>
      </c>
      <c r="AG911" s="296" t="s">
        <v>2259</v>
      </c>
    </row>
    <row r="912" spans="1:33" hidden="1">
      <c r="A912" s="631"/>
      <c r="B912" s="260" t="s">
        <v>2543</v>
      </c>
      <c r="F912" s="373">
        <v>1.9300000000000001E-2</v>
      </c>
      <c r="G912" s="252" t="s">
        <v>869</v>
      </c>
      <c r="H912" s="296" t="s">
        <v>310</v>
      </c>
      <c r="I912" s="252">
        <f>C90</f>
        <v>63870</v>
      </c>
      <c r="J912" s="253" t="s">
        <v>869</v>
      </c>
      <c r="K912" s="252">
        <f>(F912*I912)</f>
        <v>1232.69</v>
      </c>
      <c r="AG912" s="296" t="s">
        <v>2259</v>
      </c>
    </row>
    <row r="913" spans="1:33" hidden="1">
      <c r="A913" s="631"/>
      <c r="B913" s="260" t="s">
        <v>2544</v>
      </c>
      <c r="F913" s="316"/>
      <c r="H913" s="296" t="s">
        <v>446</v>
      </c>
      <c r="I913" s="296" t="s">
        <v>975</v>
      </c>
      <c r="K913" s="296" t="s">
        <v>975</v>
      </c>
      <c r="AG913" s="296" t="s">
        <v>2259</v>
      </c>
    </row>
    <row r="914" spans="1:33" hidden="1">
      <c r="A914" s="631"/>
      <c r="B914" s="260" t="s">
        <v>2545</v>
      </c>
      <c r="F914" s="316">
        <v>1.823</v>
      </c>
      <c r="G914" s="252" t="s">
        <v>609</v>
      </c>
      <c r="H914" s="296" t="s">
        <v>447</v>
      </c>
      <c r="I914" s="252">
        <f>C31</f>
        <v>342</v>
      </c>
      <c r="J914" s="253" t="s">
        <v>609</v>
      </c>
      <c r="K914" s="252">
        <f t="shared" ref="K914:K920" si="51">(F914*I914)</f>
        <v>623.47</v>
      </c>
      <c r="AG914" s="296" t="s">
        <v>2259</v>
      </c>
    </row>
    <row r="915" spans="1:33" hidden="1">
      <c r="A915" s="631"/>
      <c r="B915" s="260" t="s">
        <v>2546</v>
      </c>
      <c r="F915" s="252">
        <v>1</v>
      </c>
      <c r="G915" s="252" t="s">
        <v>769</v>
      </c>
      <c r="H915" s="296" t="s">
        <v>1463</v>
      </c>
      <c r="I915" s="252">
        <f>C576</f>
        <v>30</v>
      </c>
      <c r="J915" s="253" t="s">
        <v>868</v>
      </c>
      <c r="K915" s="252">
        <f t="shared" si="51"/>
        <v>30</v>
      </c>
      <c r="AG915" s="296" t="s">
        <v>2259</v>
      </c>
    </row>
    <row r="916" spans="1:33" ht="31.5" hidden="1">
      <c r="A916" s="631"/>
      <c r="B916" s="260" t="s">
        <v>2547</v>
      </c>
      <c r="F916" s="252">
        <v>3</v>
      </c>
      <c r="G916" s="252" t="s">
        <v>868</v>
      </c>
      <c r="H916" s="296" t="s">
        <v>1464</v>
      </c>
      <c r="I916" s="252">
        <f>C278</f>
        <v>45</v>
      </c>
      <c r="J916" s="253" t="s">
        <v>868</v>
      </c>
      <c r="K916" s="252">
        <f t="shared" si="51"/>
        <v>135</v>
      </c>
      <c r="AG916" s="296" t="s">
        <v>2259</v>
      </c>
    </row>
    <row r="917" spans="1:33" ht="31.5" hidden="1">
      <c r="A917" s="631"/>
      <c r="B917" s="260" t="s">
        <v>2548</v>
      </c>
      <c r="F917" s="252">
        <v>2</v>
      </c>
      <c r="G917" s="252" t="s">
        <v>868</v>
      </c>
      <c r="H917" s="296" t="s">
        <v>1465</v>
      </c>
      <c r="I917" s="252">
        <f>C283</f>
        <v>30</v>
      </c>
      <c r="J917" s="253" t="s">
        <v>868</v>
      </c>
      <c r="K917" s="252">
        <f t="shared" si="51"/>
        <v>60</v>
      </c>
      <c r="AG917" s="296" t="s">
        <v>2259</v>
      </c>
    </row>
    <row r="918" spans="1:33" ht="31.5" hidden="1">
      <c r="A918" s="631"/>
      <c r="B918" s="260" t="s">
        <v>2549</v>
      </c>
      <c r="F918" s="252">
        <v>1</v>
      </c>
      <c r="G918" s="252" t="s">
        <v>868</v>
      </c>
      <c r="H918" s="296" t="s">
        <v>1466</v>
      </c>
      <c r="I918" s="252">
        <f>C285</f>
        <v>95</v>
      </c>
      <c r="J918" s="253" t="s">
        <v>868</v>
      </c>
      <c r="K918" s="252">
        <f t="shared" si="51"/>
        <v>95</v>
      </c>
      <c r="AG918" s="296" t="s">
        <v>2259</v>
      </c>
    </row>
    <row r="919" spans="1:33" hidden="1">
      <c r="A919" s="631"/>
      <c r="B919" s="260" t="s">
        <v>2550</v>
      </c>
      <c r="F919" s="252">
        <v>1</v>
      </c>
      <c r="G919" s="252" t="s">
        <v>868</v>
      </c>
      <c r="H919" s="296" t="s">
        <v>1467</v>
      </c>
      <c r="I919" s="252">
        <f>C287</f>
        <v>8</v>
      </c>
      <c r="J919" s="253" t="s">
        <v>868</v>
      </c>
      <c r="K919" s="252">
        <f t="shared" si="51"/>
        <v>8</v>
      </c>
      <c r="AG919" s="296" t="s">
        <v>2259</v>
      </c>
    </row>
    <row r="920" spans="1:33" hidden="1">
      <c r="A920" s="631"/>
      <c r="B920" s="260" t="s">
        <v>2579</v>
      </c>
      <c r="F920" s="252">
        <v>1</v>
      </c>
      <c r="G920" s="252" t="s">
        <v>868</v>
      </c>
      <c r="H920" s="296" t="s">
        <v>1982</v>
      </c>
      <c r="I920" s="252">
        <f>D576</f>
        <v>25</v>
      </c>
      <c r="J920" s="253" t="s">
        <v>868</v>
      </c>
      <c r="K920" s="252">
        <f t="shared" si="51"/>
        <v>25</v>
      </c>
      <c r="AG920" s="296" t="s">
        <v>2259</v>
      </c>
    </row>
    <row r="921" spans="1:33" hidden="1">
      <c r="A921" s="631"/>
      <c r="B921" s="260" t="s">
        <v>2580</v>
      </c>
      <c r="K921" s="358" t="s">
        <v>1586</v>
      </c>
      <c r="AG921" s="296" t="s">
        <v>2259</v>
      </c>
    </row>
    <row r="922" spans="1:33" ht="31.5" hidden="1">
      <c r="A922" s="631"/>
      <c r="B922" s="260" t="s">
        <v>2581</v>
      </c>
      <c r="H922" s="296" t="s">
        <v>1468</v>
      </c>
      <c r="K922" s="252">
        <f>SUM(K910:K920)</f>
        <v>4344.0600000000004</v>
      </c>
      <c r="AG922" s="296" t="s">
        <v>2259</v>
      </c>
    </row>
    <row r="923" spans="1:33" hidden="1">
      <c r="A923" s="631"/>
      <c r="B923" s="260" t="s">
        <v>2975</v>
      </c>
      <c r="K923" s="358" t="s">
        <v>1586</v>
      </c>
      <c r="AG923" s="296" t="s">
        <v>2259</v>
      </c>
    </row>
    <row r="924" spans="1:33" hidden="1">
      <c r="A924" s="631"/>
      <c r="B924" s="260" t="s">
        <v>2976</v>
      </c>
      <c r="H924" s="296" t="s">
        <v>552</v>
      </c>
      <c r="K924" s="252">
        <f>K922/F914</f>
        <v>2382.92</v>
      </c>
      <c r="AG924" s="296" t="s">
        <v>2259</v>
      </c>
    </row>
    <row r="925" spans="1:33" hidden="1">
      <c r="A925" s="631"/>
      <c r="B925" s="260" t="s">
        <v>2977</v>
      </c>
      <c r="F925" s="296" t="s">
        <v>975</v>
      </c>
    </row>
    <row r="926" spans="1:33" hidden="1">
      <c r="A926" s="631"/>
      <c r="B926" s="260" t="s">
        <v>2978</v>
      </c>
      <c r="K926" s="358" t="s">
        <v>2055</v>
      </c>
      <c r="AG926" s="296" t="s">
        <v>2259</v>
      </c>
    </row>
    <row r="927" spans="1:33" hidden="1">
      <c r="A927" s="631"/>
      <c r="B927" s="260" t="s">
        <v>2979</v>
      </c>
    </row>
    <row r="928" spans="1:33" hidden="1">
      <c r="A928" s="631"/>
      <c r="B928" s="260" t="s">
        <v>2980</v>
      </c>
    </row>
    <row r="929" spans="1:33" hidden="1">
      <c r="A929" s="631"/>
      <c r="B929" s="260" t="s">
        <v>2981</v>
      </c>
      <c r="F929" s="253" t="s">
        <v>1338</v>
      </c>
      <c r="G929" s="252" t="s">
        <v>2251</v>
      </c>
      <c r="H929" s="296" t="s">
        <v>255</v>
      </c>
      <c r="AG929" s="296" t="s">
        <v>2259</v>
      </c>
    </row>
    <row r="930" spans="1:33" ht="16.5" hidden="1" customHeight="1">
      <c r="A930" s="631"/>
      <c r="B930" s="260" t="s">
        <v>2982</v>
      </c>
      <c r="H930" s="296" t="s">
        <v>256</v>
      </c>
      <c r="AG930" s="296" t="s">
        <v>2259</v>
      </c>
    </row>
    <row r="931" spans="1:33" ht="15.75" hidden="1" customHeight="1">
      <c r="A931" s="631"/>
      <c r="B931" s="260" t="s">
        <v>2983</v>
      </c>
      <c r="H931" s="296" t="s">
        <v>1471</v>
      </c>
      <c r="AG931" s="296" t="s">
        <v>2259</v>
      </c>
    </row>
    <row r="932" spans="1:33" hidden="1">
      <c r="A932" s="631"/>
      <c r="B932" s="260" t="s">
        <v>2984</v>
      </c>
      <c r="H932" s="358" t="s">
        <v>1586</v>
      </c>
      <c r="AG932" s="296" t="s">
        <v>2259</v>
      </c>
    </row>
    <row r="933" spans="1:33" hidden="1">
      <c r="A933" s="631"/>
      <c r="B933" s="260" t="s">
        <v>2985</v>
      </c>
    </row>
    <row r="934" spans="1:33" ht="20.25" hidden="1" customHeight="1">
      <c r="A934" s="631"/>
      <c r="B934" s="260" t="s">
        <v>2986</v>
      </c>
      <c r="H934" s="296" t="s">
        <v>644</v>
      </c>
    </row>
    <row r="935" spans="1:33" hidden="1">
      <c r="A935" s="631"/>
      <c r="B935" s="260" t="s">
        <v>2615</v>
      </c>
      <c r="H935" s="296" t="s">
        <v>645</v>
      </c>
    </row>
    <row r="936" spans="1:33" hidden="1">
      <c r="A936" s="631"/>
      <c r="B936" s="260" t="s">
        <v>2616</v>
      </c>
      <c r="J936" s="253" t="s">
        <v>1586</v>
      </c>
    </row>
    <row r="937" spans="1:33" hidden="1">
      <c r="A937" s="631"/>
      <c r="B937" s="260" t="s">
        <v>2617</v>
      </c>
      <c r="H937" s="296" t="s">
        <v>646</v>
      </c>
    </row>
    <row r="938" spans="1:33" hidden="1">
      <c r="A938" s="631"/>
      <c r="B938" s="260" t="s">
        <v>2618</v>
      </c>
      <c r="H938" s="296" t="s">
        <v>647</v>
      </c>
      <c r="K938" s="373">
        <v>2.1999999999999999E-2</v>
      </c>
    </row>
    <row r="939" spans="1:33" hidden="1">
      <c r="A939" s="631"/>
      <c r="B939" s="260" t="s">
        <v>2619</v>
      </c>
      <c r="J939" s="253" t="s">
        <v>975</v>
      </c>
      <c r="K939" s="358" t="s">
        <v>1586</v>
      </c>
    </row>
    <row r="940" spans="1:33" ht="31.5" hidden="1">
      <c r="A940" s="631"/>
      <c r="B940" s="260" t="s">
        <v>2679</v>
      </c>
      <c r="H940" s="296" t="s">
        <v>859</v>
      </c>
      <c r="J940" s="392" t="s">
        <v>975</v>
      </c>
      <c r="K940" s="373">
        <v>1.3100000000000001E-2</v>
      </c>
    </row>
    <row r="941" spans="1:33" ht="31.5" hidden="1">
      <c r="A941" s="631"/>
      <c r="B941" s="260" t="s">
        <v>3125</v>
      </c>
      <c r="H941" s="296" t="s">
        <v>2152</v>
      </c>
      <c r="J941" s="253" t="s">
        <v>975</v>
      </c>
      <c r="K941" s="373">
        <v>3.3999999999999998E-3</v>
      </c>
    </row>
    <row r="942" spans="1:33" ht="31.5" hidden="1">
      <c r="A942" s="631"/>
      <c r="B942" s="260" t="s">
        <v>2955</v>
      </c>
      <c r="K942" s="358" t="s">
        <v>1586</v>
      </c>
    </row>
    <row r="943" spans="1:33" ht="31.5" hidden="1">
      <c r="A943" s="631"/>
      <c r="B943" s="260" t="s">
        <v>2956</v>
      </c>
      <c r="K943" s="373">
        <v>1.6500000000000001E-2</v>
      </c>
    </row>
    <row r="944" spans="1:33" hidden="1">
      <c r="A944" s="631"/>
      <c r="B944" s="260" t="s">
        <v>2957</v>
      </c>
      <c r="K944" s="358" t="s">
        <v>1586</v>
      </c>
    </row>
    <row r="945" spans="1:33" hidden="1">
      <c r="A945" s="631"/>
      <c r="B945" s="260" t="s">
        <v>2958</v>
      </c>
      <c r="F945" s="373">
        <v>1.15E-2</v>
      </c>
      <c r="G945" s="252" t="s">
        <v>869</v>
      </c>
      <c r="H945" s="296" t="s">
        <v>308</v>
      </c>
      <c r="I945" s="252">
        <f>C88</f>
        <v>65420</v>
      </c>
      <c r="J945" s="253" t="s">
        <v>869</v>
      </c>
      <c r="K945" s="252">
        <f>(F945*I945)</f>
        <v>752.33</v>
      </c>
      <c r="AG945" s="296" t="s">
        <v>2259</v>
      </c>
    </row>
    <row r="946" spans="1:33" hidden="1">
      <c r="A946" s="631"/>
      <c r="B946" s="260" t="s">
        <v>2959</v>
      </c>
      <c r="F946" s="373">
        <v>2.1999999999999999E-2</v>
      </c>
      <c r="G946" s="252" t="s">
        <v>869</v>
      </c>
      <c r="H946" s="296" t="s">
        <v>309</v>
      </c>
      <c r="I946" s="252">
        <f>C89</f>
        <v>57165</v>
      </c>
      <c r="J946" s="253" t="s">
        <v>869</v>
      </c>
      <c r="K946" s="252">
        <f>(F946*I946)</f>
        <v>1257.6300000000001</v>
      </c>
      <c r="AG946" s="296" t="s">
        <v>2259</v>
      </c>
    </row>
    <row r="947" spans="1:33" hidden="1">
      <c r="A947" s="631"/>
      <c r="B947" s="260" t="s">
        <v>2960</v>
      </c>
      <c r="F947" s="373">
        <v>1.6500000000000001E-2</v>
      </c>
      <c r="G947" s="252" t="s">
        <v>869</v>
      </c>
      <c r="H947" s="296" t="s">
        <v>310</v>
      </c>
      <c r="I947" s="252">
        <f>C90</f>
        <v>63870</v>
      </c>
      <c r="J947" s="253" t="s">
        <v>869</v>
      </c>
      <c r="K947" s="252">
        <f>(F947*I947)</f>
        <v>1053.8599999999999</v>
      </c>
      <c r="AG947" s="296" t="s">
        <v>2259</v>
      </c>
    </row>
    <row r="948" spans="1:33" hidden="1">
      <c r="A948" s="631"/>
      <c r="B948" s="260" t="s">
        <v>2422</v>
      </c>
      <c r="F948" s="373"/>
      <c r="H948" s="296" t="s">
        <v>446</v>
      </c>
      <c r="I948" s="296" t="s">
        <v>975</v>
      </c>
      <c r="K948" s="296" t="s">
        <v>975</v>
      </c>
      <c r="AG948" s="296" t="s">
        <v>2259</v>
      </c>
    </row>
    <row r="949" spans="1:33" ht="31.5" hidden="1">
      <c r="A949" s="631"/>
      <c r="B949" s="260" t="s">
        <v>2423</v>
      </c>
      <c r="F949" s="373">
        <v>1.64</v>
      </c>
      <c r="G949" s="252" t="s">
        <v>609</v>
      </c>
      <c r="H949" s="296" t="s">
        <v>447</v>
      </c>
      <c r="I949" s="252">
        <f>C31</f>
        <v>342</v>
      </c>
      <c r="J949" s="253" t="s">
        <v>609</v>
      </c>
      <c r="K949" s="252">
        <f t="shared" ref="K949:K955" si="52">(F949*I949)</f>
        <v>560.88</v>
      </c>
      <c r="AG949" s="296" t="s">
        <v>2259</v>
      </c>
    </row>
    <row r="950" spans="1:33" ht="31.5" hidden="1">
      <c r="A950" s="631"/>
      <c r="B950" s="260" t="s">
        <v>3126</v>
      </c>
      <c r="F950" s="252">
        <v>1</v>
      </c>
      <c r="G950" s="252" t="s">
        <v>769</v>
      </c>
      <c r="H950" s="296" t="s">
        <v>1463</v>
      </c>
      <c r="I950" s="252">
        <f>C576</f>
        <v>30</v>
      </c>
      <c r="J950" s="253" t="s">
        <v>868</v>
      </c>
      <c r="K950" s="252">
        <f t="shared" si="52"/>
        <v>30</v>
      </c>
      <c r="AG950" s="296" t="s">
        <v>2259</v>
      </c>
    </row>
    <row r="951" spans="1:33" ht="31.5" hidden="1">
      <c r="A951" s="631"/>
      <c r="B951" s="260" t="s">
        <v>3127</v>
      </c>
      <c r="F951" s="252">
        <v>3</v>
      </c>
      <c r="G951" s="252" t="s">
        <v>868</v>
      </c>
      <c r="H951" s="296" t="s">
        <v>1464</v>
      </c>
      <c r="I951" s="252">
        <f>C278</f>
        <v>45</v>
      </c>
      <c r="J951" s="253" t="s">
        <v>868</v>
      </c>
      <c r="K951" s="252">
        <f t="shared" si="52"/>
        <v>135</v>
      </c>
      <c r="AG951" s="296" t="s">
        <v>2259</v>
      </c>
    </row>
    <row r="952" spans="1:33" ht="31.5" hidden="1">
      <c r="A952" s="631"/>
      <c r="B952" s="260" t="s">
        <v>3137</v>
      </c>
      <c r="F952" s="252">
        <v>2</v>
      </c>
      <c r="G952" s="252" t="s">
        <v>868</v>
      </c>
      <c r="H952" s="296" t="s">
        <v>1465</v>
      </c>
      <c r="I952" s="252">
        <f>C283</f>
        <v>30</v>
      </c>
      <c r="J952" s="253" t="s">
        <v>868</v>
      </c>
      <c r="K952" s="252">
        <f t="shared" si="52"/>
        <v>60</v>
      </c>
      <c r="AG952" s="296" t="s">
        <v>321</v>
      </c>
    </row>
    <row r="953" spans="1:33" ht="31.5" hidden="1">
      <c r="A953" s="631"/>
      <c r="B953" s="260" t="s">
        <v>3138</v>
      </c>
      <c r="F953" s="252">
        <v>1</v>
      </c>
      <c r="G953" s="252" t="s">
        <v>868</v>
      </c>
      <c r="H953" s="296" t="s">
        <v>1466</v>
      </c>
      <c r="I953" s="252">
        <f>C285</f>
        <v>95</v>
      </c>
      <c r="J953" s="253" t="s">
        <v>868</v>
      </c>
      <c r="K953" s="252">
        <f t="shared" si="52"/>
        <v>95</v>
      </c>
    </row>
    <row r="954" spans="1:33" ht="31.5" hidden="1">
      <c r="A954" s="631"/>
      <c r="B954" s="260" t="s">
        <v>3139</v>
      </c>
      <c r="F954" s="252">
        <v>1</v>
      </c>
      <c r="G954" s="252" t="s">
        <v>868</v>
      </c>
      <c r="H954" s="296" t="s">
        <v>1467</v>
      </c>
      <c r="I954" s="252">
        <f>C287</f>
        <v>8</v>
      </c>
      <c r="J954" s="253" t="s">
        <v>868</v>
      </c>
      <c r="K954" s="252">
        <f t="shared" si="52"/>
        <v>8</v>
      </c>
    </row>
    <row r="955" spans="1:33" ht="31.5" hidden="1">
      <c r="A955" s="631"/>
      <c r="B955" s="260" t="s">
        <v>3140</v>
      </c>
      <c r="F955" s="252">
        <v>1</v>
      </c>
      <c r="G955" s="252" t="s">
        <v>868</v>
      </c>
      <c r="H955" s="296" t="s">
        <v>1982</v>
      </c>
      <c r="I955" s="252">
        <f>D576</f>
        <v>25</v>
      </c>
      <c r="J955" s="253" t="s">
        <v>868</v>
      </c>
      <c r="K955" s="252">
        <f t="shared" si="52"/>
        <v>25</v>
      </c>
      <c r="AG955" s="296" t="s">
        <v>2259</v>
      </c>
    </row>
    <row r="956" spans="1:33" ht="31.5" hidden="1">
      <c r="A956" s="631"/>
      <c r="B956" s="260" t="s">
        <v>3141</v>
      </c>
      <c r="K956" s="358" t="s">
        <v>1586</v>
      </c>
      <c r="AG956" s="296" t="s">
        <v>2259</v>
      </c>
    </row>
    <row r="957" spans="1:33" ht="31.5" hidden="1">
      <c r="A957" s="631"/>
      <c r="B957" s="260" t="s">
        <v>3142</v>
      </c>
      <c r="H957" s="296" t="s">
        <v>2153</v>
      </c>
      <c r="K957" s="252">
        <f>SUM(K945:K955)</f>
        <v>3977.7</v>
      </c>
      <c r="AG957" s="296" t="s">
        <v>2259</v>
      </c>
    </row>
    <row r="958" spans="1:33" ht="31.5" hidden="1">
      <c r="A958" s="631"/>
      <c r="B958" s="260" t="s">
        <v>3143</v>
      </c>
      <c r="K958" s="358" t="s">
        <v>1586</v>
      </c>
      <c r="AG958" s="296" t="s">
        <v>2259</v>
      </c>
    </row>
    <row r="959" spans="1:33" ht="31.5" hidden="1">
      <c r="A959" s="631"/>
      <c r="B959" s="260" t="s">
        <v>3193</v>
      </c>
      <c r="H959" s="296" t="s">
        <v>552</v>
      </c>
      <c r="K959" s="252">
        <f>K957/F949</f>
        <v>2425.4299999999998</v>
      </c>
      <c r="AG959" s="296" t="s">
        <v>2259</v>
      </c>
    </row>
    <row r="960" spans="1:33" ht="31.5" hidden="1">
      <c r="A960" s="631"/>
      <c r="B960" s="260" t="s">
        <v>3194</v>
      </c>
      <c r="K960" s="358" t="s">
        <v>2055</v>
      </c>
      <c r="AG960" s="296" t="s">
        <v>2259</v>
      </c>
    </row>
    <row r="961" spans="1:11" ht="31.5" hidden="1">
      <c r="A961" s="631"/>
      <c r="B961" s="260" t="s">
        <v>3195</v>
      </c>
      <c r="F961" s="253" t="s">
        <v>1337</v>
      </c>
      <c r="G961" s="252" t="s">
        <v>2251</v>
      </c>
      <c r="H961" s="296" t="s">
        <v>255</v>
      </c>
    </row>
    <row r="962" spans="1:11" ht="31.5" hidden="1">
      <c r="A962" s="631"/>
      <c r="B962" s="260" t="s">
        <v>2950</v>
      </c>
      <c r="H962" s="296" t="s">
        <v>256</v>
      </c>
    </row>
    <row r="963" spans="1:11" hidden="1">
      <c r="A963" s="631"/>
      <c r="B963" s="260" t="s">
        <v>2951</v>
      </c>
      <c r="H963" s="296" t="s">
        <v>1472</v>
      </c>
    </row>
    <row r="964" spans="1:11" hidden="1">
      <c r="A964" s="631"/>
      <c r="B964" s="260" t="s">
        <v>2952</v>
      </c>
      <c r="H964" s="358" t="s">
        <v>1586</v>
      </c>
    </row>
    <row r="965" spans="1:11" hidden="1">
      <c r="A965" s="631"/>
      <c r="B965" s="260" t="s">
        <v>2953</v>
      </c>
      <c r="H965" s="296" t="s">
        <v>2154</v>
      </c>
    </row>
    <row r="966" spans="1:11" hidden="1">
      <c r="A966" s="631"/>
      <c r="B966" s="260" t="s">
        <v>2954</v>
      </c>
      <c r="H966" s="296" t="s">
        <v>90</v>
      </c>
    </row>
    <row r="967" spans="1:11" hidden="1">
      <c r="A967" s="631"/>
      <c r="B967" s="260" t="s">
        <v>3168</v>
      </c>
      <c r="J967" s="253" t="s">
        <v>1586</v>
      </c>
    </row>
    <row r="968" spans="1:11" hidden="1">
      <c r="A968" s="631"/>
      <c r="B968" s="260" t="s">
        <v>3169</v>
      </c>
      <c r="H968" s="296" t="s">
        <v>2155</v>
      </c>
    </row>
    <row r="969" spans="1:11" hidden="1">
      <c r="A969" s="631"/>
      <c r="B969" s="260" t="s">
        <v>3170</v>
      </c>
      <c r="H969" s="296" t="s">
        <v>459</v>
      </c>
      <c r="K969" s="373">
        <v>1.1900000000000001E-2</v>
      </c>
    </row>
    <row r="970" spans="1:11" ht="31.5" hidden="1">
      <c r="A970" s="631"/>
      <c r="B970" s="260" t="s">
        <v>3171</v>
      </c>
      <c r="J970" s="253" t="s">
        <v>975</v>
      </c>
      <c r="K970" s="358" t="s">
        <v>1586</v>
      </c>
    </row>
    <row r="971" spans="1:11" ht="31.5" hidden="1">
      <c r="A971" s="631"/>
      <c r="B971" s="260" t="s">
        <v>2747</v>
      </c>
      <c r="H971" s="296" t="s">
        <v>460</v>
      </c>
      <c r="J971" s="392" t="s">
        <v>975</v>
      </c>
      <c r="K971" s="373">
        <v>1.18E-2</v>
      </c>
    </row>
    <row r="972" spans="1:11" ht="31.5" hidden="1">
      <c r="A972" s="631"/>
      <c r="B972" s="260" t="s">
        <v>2748</v>
      </c>
      <c r="H972" s="296" t="s">
        <v>249</v>
      </c>
      <c r="J972" s="253" t="s">
        <v>975</v>
      </c>
      <c r="K972" s="384" t="s">
        <v>1586</v>
      </c>
    </row>
    <row r="973" spans="1:11" hidden="1">
      <c r="A973" s="631"/>
      <c r="B973" s="260" t="s">
        <v>3098</v>
      </c>
    </row>
    <row r="974" spans="1:11" hidden="1">
      <c r="A974" s="631"/>
      <c r="B974" s="260" t="s">
        <v>3099</v>
      </c>
      <c r="F974" s="373">
        <v>1.14E-2</v>
      </c>
      <c r="G974" s="252" t="s">
        <v>869</v>
      </c>
      <c r="H974" s="296" t="s">
        <v>308</v>
      </c>
      <c r="I974" s="252">
        <f>C88</f>
        <v>65420</v>
      </c>
      <c r="J974" s="253" t="s">
        <v>869</v>
      </c>
      <c r="K974" s="252">
        <f>(F974*I974)</f>
        <v>745.79</v>
      </c>
    </row>
    <row r="975" spans="1:11" hidden="1">
      <c r="A975" s="631"/>
      <c r="B975" s="260" t="s">
        <v>3100</v>
      </c>
      <c r="F975" s="373">
        <v>1.1900000000000001E-2</v>
      </c>
      <c r="G975" s="252" t="s">
        <v>869</v>
      </c>
      <c r="H975" s="296" t="s">
        <v>309</v>
      </c>
      <c r="I975" s="252">
        <f>C89</f>
        <v>57165</v>
      </c>
      <c r="J975" s="253" t="s">
        <v>869</v>
      </c>
      <c r="K975" s="252">
        <f>(F975*I975)</f>
        <v>680.26</v>
      </c>
    </row>
    <row r="976" spans="1:11" hidden="1">
      <c r="A976" s="631"/>
      <c r="B976" s="260" t="s">
        <v>3358</v>
      </c>
      <c r="F976" s="373">
        <v>1.18E-2</v>
      </c>
      <c r="G976" s="252" t="s">
        <v>869</v>
      </c>
      <c r="H976" s="296" t="s">
        <v>310</v>
      </c>
      <c r="I976" s="252">
        <f>C90</f>
        <v>63870</v>
      </c>
      <c r="J976" s="253" t="s">
        <v>869</v>
      </c>
      <c r="K976" s="252">
        <f>(F976*I976)</f>
        <v>753.67</v>
      </c>
    </row>
    <row r="977" spans="1:33" hidden="1">
      <c r="A977" s="631"/>
      <c r="B977" s="260" t="s">
        <v>3359</v>
      </c>
      <c r="F977" s="373"/>
      <c r="H977" s="296" t="s">
        <v>446</v>
      </c>
      <c r="I977" s="296" t="s">
        <v>975</v>
      </c>
      <c r="K977" s="296" t="s">
        <v>975</v>
      </c>
    </row>
    <row r="978" spans="1:33" hidden="1">
      <c r="A978" s="631"/>
      <c r="B978" s="260" t="s">
        <v>2354</v>
      </c>
      <c r="F978" s="373">
        <v>1.2150000000000001</v>
      </c>
      <c r="G978" s="252" t="s">
        <v>609</v>
      </c>
      <c r="H978" s="296" t="s">
        <v>447</v>
      </c>
      <c r="I978" s="252">
        <f>C31</f>
        <v>342</v>
      </c>
      <c r="J978" s="253" t="s">
        <v>609</v>
      </c>
      <c r="K978" s="252">
        <f t="shared" ref="K978:K984" si="53">(F978*I978)</f>
        <v>415.53</v>
      </c>
    </row>
    <row r="979" spans="1:33" hidden="1">
      <c r="A979" s="631"/>
      <c r="B979" s="260" t="s">
        <v>2355</v>
      </c>
      <c r="F979" s="252">
        <v>1</v>
      </c>
      <c r="G979" s="252" t="s">
        <v>769</v>
      </c>
      <c r="H979" s="296" t="s">
        <v>1463</v>
      </c>
      <c r="I979" s="252">
        <f>C576</f>
        <v>30</v>
      </c>
      <c r="J979" s="253" t="s">
        <v>868</v>
      </c>
      <c r="K979" s="252">
        <f t="shared" si="53"/>
        <v>30</v>
      </c>
    </row>
    <row r="980" spans="1:33" hidden="1">
      <c r="A980" s="631"/>
      <c r="B980" s="260" t="s">
        <v>2356</v>
      </c>
      <c r="F980" s="252">
        <v>3</v>
      </c>
      <c r="G980" s="252" t="s">
        <v>868</v>
      </c>
      <c r="H980" s="296" t="s">
        <v>1464</v>
      </c>
      <c r="I980" s="252">
        <f>C278</f>
        <v>45</v>
      </c>
      <c r="J980" s="253" t="s">
        <v>868</v>
      </c>
      <c r="K980" s="252">
        <f t="shared" si="53"/>
        <v>135</v>
      </c>
    </row>
    <row r="981" spans="1:33" hidden="1">
      <c r="A981" s="631"/>
      <c r="B981" s="260" t="s">
        <v>2357</v>
      </c>
      <c r="F981" s="252">
        <v>2</v>
      </c>
      <c r="G981" s="252" t="s">
        <v>868</v>
      </c>
      <c r="H981" s="296" t="s">
        <v>1465</v>
      </c>
      <c r="I981" s="252">
        <f>C283</f>
        <v>30</v>
      </c>
      <c r="J981" s="253" t="s">
        <v>868</v>
      </c>
      <c r="K981" s="252">
        <f t="shared" si="53"/>
        <v>60</v>
      </c>
    </row>
    <row r="982" spans="1:33" hidden="1">
      <c r="A982" s="631"/>
      <c r="B982" s="260" t="s">
        <v>2887</v>
      </c>
      <c r="F982" s="252">
        <v>1</v>
      </c>
      <c r="G982" s="252" t="s">
        <v>868</v>
      </c>
      <c r="H982" s="296" t="s">
        <v>1466</v>
      </c>
      <c r="I982" s="252">
        <f>C285</f>
        <v>95</v>
      </c>
      <c r="J982" s="253" t="s">
        <v>868</v>
      </c>
      <c r="K982" s="252">
        <f t="shared" si="53"/>
        <v>95</v>
      </c>
    </row>
    <row r="983" spans="1:33" ht="31.5" hidden="1">
      <c r="A983" s="631"/>
      <c r="B983" s="260" t="s">
        <v>2888</v>
      </c>
      <c r="F983" s="252">
        <v>1</v>
      </c>
      <c r="G983" s="252" t="s">
        <v>868</v>
      </c>
      <c r="H983" s="296" t="s">
        <v>1467</v>
      </c>
      <c r="I983" s="252">
        <f>C287</f>
        <v>8</v>
      </c>
      <c r="J983" s="253" t="s">
        <v>868</v>
      </c>
      <c r="K983" s="252">
        <f t="shared" si="53"/>
        <v>8</v>
      </c>
    </row>
    <row r="984" spans="1:33" hidden="1">
      <c r="A984" s="631"/>
      <c r="B984" s="260" t="s">
        <v>2898</v>
      </c>
      <c r="F984" s="252">
        <v>1</v>
      </c>
      <c r="G984" s="252" t="s">
        <v>868</v>
      </c>
      <c r="H984" s="296" t="s">
        <v>1982</v>
      </c>
      <c r="I984" s="252">
        <f>D576</f>
        <v>25</v>
      </c>
      <c r="J984" s="253" t="s">
        <v>868</v>
      </c>
      <c r="K984" s="252">
        <f t="shared" si="53"/>
        <v>25</v>
      </c>
    </row>
    <row r="985" spans="1:33" hidden="1">
      <c r="A985" s="631"/>
      <c r="B985" s="260" t="s">
        <v>2899</v>
      </c>
      <c r="K985" s="358" t="s">
        <v>1586</v>
      </c>
    </row>
    <row r="986" spans="1:33" hidden="1">
      <c r="A986" s="631"/>
      <c r="B986" s="260" t="s">
        <v>3432</v>
      </c>
      <c r="H986" s="296" t="s">
        <v>461</v>
      </c>
      <c r="K986" s="252">
        <f>SUM(K974:K984)</f>
        <v>2948.25</v>
      </c>
    </row>
    <row r="987" spans="1:33" hidden="1">
      <c r="A987" s="631"/>
      <c r="B987" s="260" t="s">
        <v>3433</v>
      </c>
      <c r="K987" s="358" t="s">
        <v>1586</v>
      </c>
    </row>
    <row r="988" spans="1:33" hidden="1">
      <c r="A988" s="631"/>
      <c r="B988" s="260" t="s">
        <v>3434</v>
      </c>
      <c r="H988" s="296" t="s">
        <v>552</v>
      </c>
      <c r="K988" s="252">
        <f>K986/F978</f>
        <v>2426.54</v>
      </c>
    </row>
    <row r="989" spans="1:33" ht="31.5" hidden="1">
      <c r="A989" s="631"/>
      <c r="B989" s="260" t="s">
        <v>3196</v>
      </c>
      <c r="K989" s="358" t="s">
        <v>2055</v>
      </c>
    </row>
    <row r="990" spans="1:33" hidden="1">
      <c r="A990" s="631"/>
      <c r="B990" s="260" t="s">
        <v>3197</v>
      </c>
    </row>
    <row r="991" spans="1:33" hidden="1">
      <c r="A991" s="631"/>
      <c r="B991" s="260" t="s">
        <v>3198</v>
      </c>
      <c r="F991" s="253" t="s">
        <v>462</v>
      </c>
      <c r="G991" s="252" t="s">
        <v>2251</v>
      </c>
      <c r="H991" s="296" t="s">
        <v>2177</v>
      </c>
      <c r="AG991" s="296" t="s">
        <v>2259</v>
      </c>
    </row>
    <row r="992" spans="1:33" hidden="1">
      <c r="A992" s="631"/>
      <c r="B992" s="260" t="s">
        <v>3199</v>
      </c>
      <c r="H992" s="296" t="s">
        <v>2179</v>
      </c>
      <c r="AG992" s="296" t="s">
        <v>2259</v>
      </c>
    </row>
    <row r="993" spans="1:33" hidden="1">
      <c r="A993" s="631"/>
      <c r="B993" s="260" t="s">
        <v>3200</v>
      </c>
      <c r="H993" s="296" t="s">
        <v>2180</v>
      </c>
      <c r="AG993" s="296" t="s">
        <v>2259</v>
      </c>
    </row>
    <row r="994" spans="1:33" hidden="1">
      <c r="A994" s="631"/>
      <c r="B994" s="260" t="s">
        <v>3201</v>
      </c>
      <c r="H994" s="296" t="s">
        <v>2181</v>
      </c>
      <c r="AG994" s="296" t="s">
        <v>2259</v>
      </c>
    </row>
    <row r="995" spans="1:33" hidden="1">
      <c r="A995" s="631"/>
      <c r="B995" s="260" t="s">
        <v>3202</v>
      </c>
      <c r="H995" s="296" t="s">
        <v>2182</v>
      </c>
      <c r="AG995" s="296" t="s">
        <v>2259</v>
      </c>
    </row>
    <row r="996" spans="1:33" hidden="1">
      <c r="A996" s="631"/>
      <c r="B996" s="260" t="s">
        <v>2587</v>
      </c>
      <c r="H996" s="296" t="s">
        <v>2183</v>
      </c>
      <c r="AG996" s="296" t="s">
        <v>2259</v>
      </c>
    </row>
    <row r="997" spans="1:33" hidden="1">
      <c r="A997" s="631"/>
      <c r="B997" s="260" t="s">
        <v>2588</v>
      </c>
      <c r="H997" s="358" t="s">
        <v>1586</v>
      </c>
      <c r="AG997" s="296" t="s">
        <v>2259</v>
      </c>
    </row>
    <row r="998" spans="1:33" hidden="1">
      <c r="A998" s="631"/>
      <c r="B998" s="260" t="s">
        <v>2589</v>
      </c>
      <c r="H998" s="296" t="s">
        <v>644</v>
      </c>
      <c r="AG998" s="296" t="s">
        <v>2259</v>
      </c>
    </row>
    <row r="999" spans="1:33" ht="31.5" hidden="1">
      <c r="A999" s="631"/>
      <c r="B999" s="260" t="s">
        <v>2590</v>
      </c>
      <c r="H999" s="296" t="s">
        <v>2184</v>
      </c>
      <c r="AG999" s="296" t="s">
        <v>2259</v>
      </c>
    </row>
    <row r="1000" spans="1:33" ht="31.5" hidden="1">
      <c r="A1000" s="631"/>
      <c r="B1000" s="260" t="s">
        <v>2591</v>
      </c>
      <c r="J1000" s="253" t="s">
        <v>1586</v>
      </c>
      <c r="AG1000" s="296" t="s">
        <v>2259</v>
      </c>
    </row>
    <row r="1001" spans="1:33" ht="31.5" hidden="1">
      <c r="A1001" s="631"/>
      <c r="B1001" s="260" t="s">
        <v>2592</v>
      </c>
      <c r="H1001" s="296" t="s">
        <v>2185</v>
      </c>
      <c r="AG1001" s="296" t="s">
        <v>2259</v>
      </c>
    </row>
    <row r="1002" spans="1:33" ht="31.5" hidden="1">
      <c r="A1002" s="631"/>
      <c r="B1002" s="260" t="s">
        <v>2593</v>
      </c>
      <c r="H1002" s="296" t="s">
        <v>975</v>
      </c>
      <c r="I1002" s="296" t="s">
        <v>975</v>
      </c>
      <c r="K1002" s="382" t="s">
        <v>975</v>
      </c>
      <c r="AG1002" s="296" t="s">
        <v>2259</v>
      </c>
    </row>
    <row r="1003" spans="1:33" hidden="1">
      <c r="A1003" s="631"/>
      <c r="B1003" s="260" t="s">
        <v>2594</v>
      </c>
      <c r="J1003" s="253" t="s">
        <v>975</v>
      </c>
      <c r="K1003" s="296" t="s">
        <v>975</v>
      </c>
      <c r="AG1003" s="296" t="s">
        <v>2259</v>
      </c>
    </row>
    <row r="1004" spans="1:33" hidden="1">
      <c r="A1004" s="631"/>
      <c r="B1004" s="260" t="s">
        <v>2595</v>
      </c>
      <c r="H1004" s="296" t="s">
        <v>2111</v>
      </c>
      <c r="J1004" s="392" t="s">
        <v>975</v>
      </c>
      <c r="K1004" s="382" t="s">
        <v>975</v>
      </c>
      <c r="AG1004" s="296" t="s">
        <v>2259</v>
      </c>
    </row>
    <row r="1005" spans="1:33" hidden="1">
      <c r="A1005" s="631"/>
      <c r="B1005" s="260" t="s">
        <v>2576</v>
      </c>
      <c r="H1005" s="296" t="s">
        <v>111</v>
      </c>
      <c r="K1005" s="382" t="s">
        <v>1740</v>
      </c>
      <c r="AG1005" s="296" t="s">
        <v>2259</v>
      </c>
    </row>
    <row r="1006" spans="1:33" hidden="1">
      <c r="A1006" s="631"/>
      <c r="B1006" s="260" t="s">
        <v>2577</v>
      </c>
      <c r="K1006" s="296" t="s">
        <v>975</v>
      </c>
      <c r="AG1006" s="296" t="s">
        <v>2259</v>
      </c>
    </row>
    <row r="1007" spans="1:33" hidden="1">
      <c r="A1007" s="631"/>
      <c r="B1007" s="260" t="s">
        <v>2578</v>
      </c>
      <c r="K1007" s="382" t="s">
        <v>975</v>
      </c>
      <c r="AG1007" s="296" t="s">
        <v>2259</v>
      </c>
    </row>
    <row r="1008" spans="1:33" hidden="1">
      <c r="A1008" s="631"/>
      <c r="B1008" s="260" t="s">
        <v>2987</v>
      </c>
      <c r="K1008" s="296" t="s">
        <v>975</v>
      </c>
      <c r="AG1008" s="296" t="s">
        <v>2259</v>
      </c>
    </row>
    <row r="1009" spans="1:33" hidden="1">
      <c r="A1009" s="631"/>
      <c r="B1009" s="260" t="s">
        <v>2988</v>
      </c>
      <c r="F1009" s="253" t="s">
        <v>1473</v>
      </c>
      <c r="H1009" s="296" t="s">
        <v>720</v>
      </c>
      <c r="K1009" s="296" t="s">
        <v>975</v>
      </c>
      <c r="AG1009" s="296" t="s">
        <v>2259</v>
      </c>
    </row>
    <row r="1010" spans="1:33" hidden="1">
      <c r="A1010" s="631"/>
      <c r="B1010" s="260" t="s">
        <v>2989</v>
      </c>
      <c r="H1010" s="358" t="s">
        <v>1586</v>
      </c>
      <c r="AG1010" s="296" t="s">
        <v>2259</v>
      </c>
    </row>
    <row r="1011" spans="1:33" hidden="1">
      <c r="A1011" s="251"/>
      <c r="B1011" s="260" t="s">
        <v>2990</v>
      </c>
      <c r="F1011" s="383">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383">
        <v>1.35E-2</v>
      </c>
      <c r="G1012" s="252" t="s">
        <v>869</v>
      </c>
      <c r="H1012" s="296" t="s">
        <v>693</v>
      </c>
      <c r="I1012" s="252">
        <f>C89</f>
        <v>57165</v>
      </c>
      <c r="J1012" s="253" t="s">
        <v>869</v>
      </c>
      <c r="K1012" s="252">
        <f t="shared" si="54"/>
        <v>771.73</v>
      </c>
      <c r="AG1012" s="296" t="s">
        <v>2259</v>
      </c>
    </row>
    <row r="1013" spans="1:33" hidden="1">
      <c r="A1013" s="251"/>
      <c r="B1013" s="260" t="s">
        <v>2992</v>
      </c>
      <c r="F1013" s="383">
        <v>1.016</v>
      </c>
      <c r="G1013" s="252" t="s">
        <v>609</v>
      </c>
      <c r="H1013" s="296" t="s">
        <v>2091</v>
      </c>
      <c r="I1013" s="252">
        <f>C753</f>
        <v>381.37</v>
      </c>
      <c r="J1013" s="253" t="s">
        <v>609</v>
      </c>
      <c r="K1013" s="252">
        <f t="shared" si="54"/>
        <v>387.47</v>
      </c>
      <c r="AG1013" s="296" t="s">
        <v>2259</v>
      </c>
    </row>
    <row r="1014" spans="1:33" hidden="1">
      <c r="A1014" s="251"/>
      <c r="B1014" s="260" t="s">
        <v>2993</v>
      </c>
      <c r="F1014" s="383">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383">
        <v>6.6499999999999997E-3</v>
      </c>
      <c r="G1029" s="252" t="s">
        <v>1341</v>
      </c>
      <c r="H1029" s="296" t="s">
        <v>1342</v>
      </c>
      <c r="I1029" s="252">
        <f>C89</f>
        <v>57165</v>
      </c>
      <c r="J1029" s="253" t="s">
        <v>869</v>
      </c>
      <c r="K1029" s="252">
        <f t="shared" ref="K1029:K1035" si="55">(F1029*I1029)</f>
        <v>380.15</v>
      </c>
    </row>
    <row r="1030" spans="1:33" hidden="1">
      <c r="A1030" s="251"/>
      <c r="B1030" s="260" t="s">
        <v>3423</v>
      </c>
      <c r="F1030" s="383">
        <v>0.32346000000000003</v>
      </c>
      <c r="G1030" s="252" t="s">
        <v>609</v>
      </c>
      <c r="H1030" s="296" t="s">
        <v>3424</v>
      </c>
      <c r="I1030" s="252">
        <f>C271</f>
        <v>160</v>
      </c>
      <c r="J1030" s="253" t="s">
        <v>869</v>
      </c>
      <c r="K1030" s="252">
        <f t="shared" si="55"/>
        <v>51.75</v>
      </c>
    </row>
    <row r="1031" spans="1:33" hidden="1">
      <c r="A1031" s="251"/>
      <c r="B1031" s="260" t="s">
        <v>3425</v>
      </c>
      <c r="F1031" s="383">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383">
        <v>5.4000000000000003E-3</v>
      </c>
      <c r="G1044" s="252" t="s">
        <v>1341</v>
      </c>
      <c r="H1044" s="296" t="s">
        <v>1342</v>
      </c>
      <c r="I1044" s="252">
        <f>C89</f>
        <v>57165</v>
      </c>
      <c r="J1044" s="253" t="s">
        <v>869</v>
      </c>
      <c r="K1044" s="252">
        <f t="shared" ref="K1044:K1050" si="56">(F1044*I1044)</f>
        <v>308.69</v>
      </c>
    </row>
    <row r="1045" spans="1:11" hidden="1">
      <c r="A1045" s="251"/>
      <c r="F1045" s="383">
        <v>0.23871000000000001</v>
      </c>
      <c r="G1045" s="252" t="s">
        <v>609</v>
      </c>
      <c r="H1045" s="296" t="s">
        <v>3424</v>
      </c>
      <c r="I1045" s="252">
        <f>C271</f>
        <v>160</v>
      </c>
      <c r="J1045" s="253" t="s">
        <v>869</v>
      </c>
      <c r="K1045" s="252">
        <f t="shared" si="56"/>
        <v>38.19</v>
      </c>
    </row>
    <row r="1046" spans="1:11" hidden="1">
      <c r="A1046" s="251"/>
      <c r="F1046" s="383">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383">
        <v>5.3E-3</v>
      </c>
      <c r="G1059" s="252" t="s">
        <v>1341</v>
      </c>
      <c r="H1059" s="296" t="s">
        <v>1342</v>
      </c>
      <c r="I1059" s="252">
        <f>C89</f>
        <v>57165</v>
      </c>
      <c r="J1059" s="253" t="s">
        <v>869</v>
      </c>
      <c r="K1059" s="252">
        <f t="shared" ref="K1059:K1064" si="57">(F1059*I1059)</f>
        <v>302.97000000000003</v>
      </c>
    </row>
    <row r="1060" spans="1:11" hidden="1">
      <c r="A1060" s="251"/>
      <c r="F1060" s="383">
        <v>0.27450000000000002</v>
      </c>
      <c r="G1060" s="252" t="s">
        <v>609</v>
      </c>
      <c r="H1060" s="296" t="s">
        <v>3424</v>
      </c>
      <c r="I1060" s="252">
        <f>C271</f>
        <v>160</v>
      </c>
      <c r="J1060" s="253" t="s">
        <v>869</v>
      </c>
      <c r="K1060" s="252">
        <f t="shared" si="57"/>
        <v>43.92</v>
      </c>
    </row>
    <row r="1061" spans="1:11" hidden="1">
      <c r="A1061" s="251"/>
      <c r="F1061" s="383">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66">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373">
        <v>3.32E-2</v>
      </c>
    </row>
    <row r="1080" spans="1:12" hidden="1">
      <c r="A1080" s="251"/>
      <c r="H1080" s="296" t="s">
        <v>2156</v>
      </c>
      <c r="J1080" s="392" t="s">
        <v>975</v>
      </c>
      <c r="K1080" s="382" t="s">
        <v>975</v>
      </c>
    </row>
    <row r="1081" spans="1:12" hidden="1">
      <c r="A1081" s="251"/>
      <c r="H1081" s="296" t="s">
        <v>1830</v>
      </c>
      <c r="K1081" s="382" t="s">
        <v>975</v>
      </c>
    </row>
    <row r="1082" spans="1:12" hidden="1">
      <c r="A1082" s="251"/>
    </row>
    <row r="1083" spans="1:12" hidden="1">
      <c r="A1083" s="251"/>
      <c r="F1083" s="383">
        <v>1.18E-2</v>
      </c>
      <c r="G1083" s="252" t="s">
        <v>869</v>
      </c>
      <c r="H1083" s="296" t="s">
        <v>692</v>
      </c>
      <c r="I1083" s="252">
        <f>C88</f>
        <v>65420</v>
      </c>
      <c r="J1083" s="253" t="s">
        <v>869</v>
      </c>
      <c r="K1083" s="252">
        <f t="shared" ref="K1083:K1092" si="58">(F1083*I1083)</f>
        <v>771.96</v>
      </c>
    </row>
    <row r="1084" spans="1:12" hidden="1">
      <c r="A1084" s="251"/>
      <c r="F1084" s="383">
        <v>3.32E-2</v>
      </c>
      <c r="G1084" s="252" t="s">
        <v>869</v>
      </c>
      <c r="H1084" s="296" t="s">
        <v>693</v>
      </c>
      <c r="I1084" s="252">
        <f>C89</f>
        <v>57165</v>
      </c>
      <c r="J1084" s="253" t="s">
        <v>869</v>
      </c>
      <c r="K1084" s="252">
        <f t="shared" si="58"/>
        <v>1897.88</v>
      </c>
    </row>
    <row r="1085" spans="1:12" hidden="1">
      <c r="A1085" s="251"/>
      <c r="F1085" s="383">
        <v>1.8550000000000001E-2</v>
      </c>
      <c r="G1085" s="252" t="s">
        <v>869</v>
      </c>
      <c r="H1085" s="296" t="s">
        <v>886</v>
      </c>
      <c r="I1085" s="252">
        <f>C30</f>
        <v>3035</v>
      </c>
      <c r="J1085" s="253" t="s">
        <v>869</v>
      </c>
      <c r="K1085" s="252">
        <f t="shared" si="58"/>
        <v>56.3</v>
      </c>
    </row>
    <row r="1086" spans="1:12" hidden="1">
      <c r="A1086" s="251"/>
      <c r="F1086" s="383">
        <v>1.46</v>
      </c>
      <c r="G1086" s="252" t="s">
        <v>609</v>
      </c>
      <c r="H1086" s="296" t="s">
        <v>887</v>
      </c>
      <c r="I1086" s="252">
        <v>385.89</v>
      </c>
      <c r="J1086" s="253" t="s">
        <v>609</v>
      </c>
      <c r="K1086" s="252">
        <f t="shared" si="58"/>
        <v>563.4</v>
      </c>
    </row>
    <row r="1087" spans="1:12" hidden="1">
      <c r="A1087" s="251"/>
      <c r="F1087" s="383">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66">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66">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66">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6109</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6110</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66">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66">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66">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2">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2">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375">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68"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66">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6118</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6119</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6120</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66">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6121</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375" t="s">
        <v>657</v>
      </c>
      <c r="K1663" s="252">
        <v>1.2</v>
      </c>
    </row>
    <row r="1664" spans="1:11" hidden="1">
      <c r="A1664" s="251"/>
      <c r="I1664" s="375"/>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6122</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375"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63">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63">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63">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375" t="s">
        <v>657</v>
      </c>
      <c r="H1718" s="296" t="s">
        <v>1558</v>
      </c>
      <c r="I1718" s="375" t="s">
        <v>657</v>
      </c>
      <c r="K1718" s="252">
        <v>250</v>
      </c>
    </row>
    <row r="1719" spans="1:11" hidden="1">
      <c r="A1719" s="251"/>
      <c r="F1719" s="375" t="s">
        <v>657</v>
      </c>
      <c r="H1719" s="296" t="s">
        <v>1400</v>
      </c>
      <c r="I1719" s="375"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2">
        <v>86</v>
      </c>
      <c r="H1724" s="296" t="s">
        <v>2059</v>
      </c>
      <c r="K1724" s="252">
        <f>C777</f>
        <v>30</v>
      </c>
    </row>
    <row r="1725" spans="1:11" hidden="1">
      <c r="A1725" s="251"/>
      <c r="F1725" s="366"/>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66"/>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2">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388">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375">
        <f>E639</f>
        <v>5</v>
      </c>
      <c r="J1829" s="253" t="s">
        <v>1771</v>
      </c>
      <c r="K1829" s="252">
        <f t="shared" ref="K1829:K1835" si="68">(F1829*I1829)</f>
        <v>150</v>
      </c>
    </row>
    <row r="1830" spans="1:11" hidden="1">
      <c r="A1830" s="251"/>
      <c r="F1830" s="252">
        <v>8</v>
      </c>
      <c r="G1830" s="252" t="s">
        <v>868</v>
      </c>
      <c r="H1830" s="296" t="s">
        <v>2144</v>
      </c>
      <c r="I1830" s="375">
        <f>I1737</f>
        <v>2.2000000000000002</v>
      </c>
      <c r="J1830" s="253" t="s">
        <v>868</v>
      </c>
      <c r="K1830" s="252">
        <f t="shared" si="68"/>
        <v>17.600000000000001</v>
      </c>
    </row>
    <row r="1831" spans="1:11" hidden="1">
      <c r="A1831" s="251"/>
      <c r="F1831" s="252">
        <v>8</v>
      </c>
      <c r="G1831" s="252" t="s">
        <v>868</v>
      </c>
      <c r="H1831" s="296" t="s">
        <v>467</v>
      </c>
      <c r="I1831" s="375">
        <f>I1738</f>
        <v>3.2</v>
      </c>
      <c r="J1831" s="253" t="s">
        <v>868</v>
      </c>
      <c r="K1831" s="252">
        <f t="shared" si="68"/>
        <v>25.6</v>
      </c>
    </row>
    <row r="1832" spans="1:11" hidden="1">
      <c r="A1832" s="251"/>
      <c r="F1832" s="252">
        <v>3</v>
      </c>
      <c r="G1832" s="252" t="s">
        <v>868</v>
      </c>
      <c r="H1832" s="296" t="s">
        <v>1845</v>
      </c>
      <c r="I1832" s="375">
        <f>C41</f>
        <v>110</v>
      </c>
      <c r="J1832" s="253" t="s">
        <v>868</v>
      </c>
      <c r="K1832" s="252">
        <f t="shared" si="68"/>
        <v>330</v>
      </c>
    </row>
    <row r="1833" spans="1:11" hidden="1">
      <c r="A1833" s="251"/>
      <c r="F1833" s="252">
        <v>1</v>
      </c>
      <c r="G1833" s="252" t="s">
        <v>868</v>
      </c>
      <c r="H1833" s="296" t="s">
        <v>1380</v>
      </c>
      <c r="I1833" s="375">
        <f>C10</f>
        <v>150</v>
      </c>
      <c r="J1833" s="253" t="s">
        <v>868</v>
      </c>
      <c r="K1833" s="252">
        <f t="shared" si="68"/>
        <v>150</v>
      </c>
    </row>
    <row r="1834" spans="1:11" hidden="1">
      <c r="A1834" s="251"/>
      <c r="F1834" s="252">
        <v>2</v>
      </c>
      <c r="G1834" s="252" t="s">
        <v>868</v>
      </c>
      <c r="H1834" s="296" t="s">
        <v>1902</v>
      </c>
      <c r="I1834" s="375">
        <f>C12</f>
        <v>95</v>
      </c>
      <c r="J1834" s="253" t="s">
        <v>868</v>
      </c>
      <c r="K1834" s="252">
        <f t="shared" si="68"/>
        <v>190</v>
      </c>
    </row>
    <row r="1835" spans="1:11" hidden="1">
      <c r="A1835" s="251"/>
      <c r="F1835" s="252">
        <v>1</v>
      </c>
      <c r="G1835" s="252" t="s">
        <v>868</v>
      </c>
      <c r="H1835" s="296" t="s">
        <v>320</v>
      </c>
      <c r="I1835" s="375">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375">
        <f>E509</f>
        <v>70</v>
      </c>
      <c r="J1844" s="253" t="s">
        <v>826</v>
      </c>
      <c r="K1844" s="252">
        <f>(F1844*I1844)</f>
        <v>70</v>
      </c>
    </row>
    <row r="1845" spans="1:11" hidden="1">
      <c r="A1845" s="251"/>
      <c r="F1845" s="252">
        <v>1</v>
      </c>
      <c r="G1845" s="252" t="s">
        <v>449</v>
      </c>
      <c r="H1845" s="296" t="s">
        <v>339</v>
      </c>
      <c r="I1845" s="375">
        <f>I1844*0.2</f>
        <v>14</v>
      </c>
      <c r="J1845" s="253" t="s">
        <v>449</v>
      </c>
      <c r="K1845" s="252">
        <f>(F1845*I1845)</f>
        <v>14</v>
      </c>
    </row>
    <row r="1846" spans="1:11" hidden="1">
      <c r="A1846" s="251"/>
      <c r="F1846" s="252">
        <v>1</v>
      </c>
      <c r="G1846" s="252" t="s">
        <v>826</v>
      </c>
      <c r="H1846" s="296" t="s">
        <v>161</v>
      </c>
      <c r="I1846" s="375">
        <f>K1839</f>
        <v>31.61</v>
      </c>
      <c r="J1846" s="253" t="s">
        <v>826</v>
      </c>
      <c r="K1846" s="252">
        <f>(F1846*I1846)</f>
        <v>31.61</v>
      </c>
    </row>
    <row r="1847" spans="1:11" ht="31.5" hidden="1">
      <c r="A1847" s="251"/>
      <c r="H1847" s="371" t="s">
        <v>1076</v>
      </c>
      <c r="I1847" s="375"/>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66">
        <v>53.1</v>
      </c>
      <c r="G1853" s="252" t="s">
        <v>2251</v>
      </c>
      <c r="H1853" s="296" t="s">
        <v>2219</v>
      </c>
    </row>
    <row r="1854" spans="1:11" hidden="1">
      <c r="A1854" s="251"/>
      <c r="H1854" s="276" t="s">
        <v>6123</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389">
        <v>1</v>
      </c>
      <c r="G1858" s="389" t="s">
        <v>868</v>
      </c>
      <c r="H1858" s="371" t="s">
        <v>2663</v>
      </c>
      <c r="I1858" s="389">
        <f>(C595)</f>
        <v>1050</v>
      </c>
      <c r="J1858" s="389" t="s">
        <v>868</v>
      </c>
      <c r="K1858" s="389">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2">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66">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66">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2">
        <v>57</v>
      </c>
      <c r="G1924" s="252" t="s">
        <v>2251</v>
      </c>
      <c r="H1924" s="296" t="s">
        <v>6124</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389">
        <v>1</v>
      </c>
      <c r="G1928" s="389" t="s">
        <v>783</v>
      </c>
      <c r="H1928" s="371" t="s">
        <v>1122</v>
      </c>
      <c r="I1928" s="389">
        <f>C591</f>
        <v>1700</v>
      </c>
      <c r="J1928" s="632" t="s">
        <v>783</v>
      </c>
      <c r="K1928" s="389">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66">
        <v>57.1</v>
      </c>
      <c r="G1943" s="252" t="s">
        <v>2251</v>
      </c>
      <c r="H1943" s="296" t="s">
        <v>6125</v>
      </c>
    </row>
    <row r="1944" spans="1:11" hidden="1">
      <c r="A1944" s="251"/>
      <c r="H1944" s="296" t="s">
        <v>201</v>
      </c>
    </row>
    <row r="1945" spans="1:11" hidden="1">
      <c r="A1945" s="251"/>
      <c r="H1945" s="296" t="s">
        <v>1772</v>
      </c>
    </row>
    <row r="1946" spans="1:11" hidden="1">
      <c r="A1946" s="251"/>
      <c r="H1946" s="358" t="s">
        <v>1586</v>
      </c>
    </row>
    <row r="1947" spans="1:11" ht="63" hidden="1">
      <c r="A1947" s="251"/>
      <c r="F1947" s="389">
        <v>1</v>
      </c>
      <c r="G1947" s="389" t="s">
        <v>783</v>
      </c>
      <c r="H1947" s="371" t="s">
        <v>1122</v>
      </c>
      <c r="I1947" s="252">
        <f>E591</f>
        <v>2000</v>
      </c>
      <c r="J1947" s="632" t="s">
        <v>783</v>
      </c>
      <c r="K1947" s="389">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63">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2">
        <v>65</v>
      </c>
      <c r="H2187" s="296" t="s">
        <v>776</v>
      </c>
      <c r="K2187" s="252">
        <f>K2921</f>
        <v>1734.1</v>
      </c>
    </row>
    <row r="2188" spans="1:11" hidden="1">
      <c r="A2188" s="251"/>
      <c r="F2188" s="362">
        <v>66</v>
      </c>
      <c r="H2188" s="296" t="s">
        <v>612</v>
      </c>
      <c r="K2188" s="252">
        <f>K2945</f>
        <v>3158.59</v>
      </c>
    </row>
    <row r="2189" spans="1:11" hidden="1">
      <c r="A2189" s="251"/>
      <c r="F2189" s="362">
        <v>67</v>
      </c>
      <c r="H2189" s="296" t="s">
        <v>570</v>
      </c>
      <c r="K2189" s="252">
        <f>K2977</f>
        <v>864.66</v>
      </c>
    </row>
    <row r="2190" spans="1:11" hidden="1">
      <c r="A2190" s="251"/>
      <c r="F2190" s="362">
        <v>68</v>
      </c>
      <c r="H2190" s="296" t="s">
        <v>838</v>
      </c>
      <c r="K2190" s="252">
        <f>K2965</f>
        <v>1161.3</v>
      </c>
    </row>
    <row r="2191" spans="1:11" hidden="1">
      <c r="A2191" s="251"/>
      <c r="F2191" s="362">
        <v>69</v>
      </c>
      <c r="H2191" s="296" t="s">
        <v>802</v>
      </c>
      <c r="K2191" s="252">
        <f>K2988</f>
        <v>134.47</v>
      </c>
    </row>
    <row r="2192" spans="1:11" hidden="1">
      <c r="A2192" s="251"/>
      <c r="F2192" s="362" t="s">
        <v>803</v>
      </c>
      <c r="H2192" s="296" t="s">
        <v>498</v>
      </c>
      <c r="K2192" s="252">
        <f>K3135</f>
        <v>506.46</v>
      </c>
    </row>
    <row r="2193" spans="1:11" hidden="1">
      <c r="A2193" s="251"/>
      <c r="F2193" s="362" t="s">
        <v>293</v>
      </c>
      <c r="H2193" s="296" t="s">
        <v>2335</v>
      </c>
    </row>
    <row r="2194" spans="1:11" hidden="1">
      <c r="A2194" s="251"/>
      <c r="F2194" s="362" t="s">
        <v>1942</v>
      </c>
      <c r="H2194" s="296" t="s">
        <v>1502</v>
      </c>
      <c r="K2194" s="252">
        <v>10</v>
      </c>
    </row>
    <row r="2195" spans="1:11" hidden="1">
      <c r="A2195" s="251"/>
      <c r="F2195" s="362" t="s">
        <v>1943</v>
      </c>
      <c r="H2195" s="296" t="s">
        <v>582</v>
      </c>
      <c r="K2195" s="252">
        <v>8</v>
      </c>
    </row>
    <row r="2196" spans="1:11" hidden="1">
      <c r="A2196" s="251"/>
      <c r="F2196" s="362">
        <v>71</v>
      </c>
      <c r="H2196" s="296" t="s">
        <v>1156</v>
      </c>
      <c r="K2196" s="252">
        <f>K3154</f>
        <v>819</v>
      </c>
    </row>
    <row r="2197" spans="1:11" hidden="1">
      <c r="A2197" s="251"/>
      <c r="F2197" s="362">
        <v>72</v>
      </c>
      <c r="H2197" s="296" t="s">
        <v>804</v>
      </c>
      <c r="K2197" s="252">
        <v>31</v>
      </c>
    </row>
    <row r="2198" spans="1:11" hidden="1">
      <c r="A2198" s="251"/>
      <c r="F2198" s="362" t="s">
        <v>583</v>
      </c>
      <c r="H2198" s="296" t="s">
        <v>275</v>
      </c>
      <c r="K2198" s="252">
        <f>K3233</f>
        <v>4092.34</v>
      </c>
    </row>
    <row r="2199" spans="1:11" hidden="1">
      <c r="A2199" s="251"/>
      <c r="F2199" s="362" t="s">
        <v>584</v>
      </c>
      <c r="H2199" s="296" t="s">
        <v>585</v>
      </c>
      <c r="K2199" s="252">
        <f>K3221</f>
        <v>3355.34</v>
      </c>
    </row>
    <row r="2200" spans="1:11" hidden="1">
      <c r="A2200" s="251"/>
      <c r="F2200" s="362">
        <v>74</v>
      </c>
      <c r="H2200" s="296" t="s">
        <v>162</v>
      </c>
      <c r="K2200" s="252">
        <f>K3277</f>
        <v>600.79999999999995</v>
      </c>
    </row>
    <row r="2201" spans="1:11" hidden="1">
      <c r="A2201" s="251"/>
      <c r="F2201" s="362" t="s">
        <v>632</v>
      </c>
      <c r="H2201" s="296" t="s">
        <v>1382</v>
      </c>
      <c r="K2201" s="252">
        <f>K3767</f>
        <v>185.9</v>
      </c>
    </row>
    <row r="2202" spans="1:11" hidden="1">
      <c r="A2202" s="251"/>
      <c r="F2202" s="362" t="s">
        <v>633</v>
      </c>
      <c r="H2202" s="296" t="s">
        <v>131</v>
      </c>
      <c r="K2202" s="252">
        <v>0</v>
      </c>
    </row>
    <row r="2203" spans="1:11" hidden="1">
      <c r="A2203" s="251"/>
      <c r="F2203" s="362">
        <v>112</v>
      </c>
      <c r="H2203" s="296" t="s">
        <v>746</v>
      </c>
      <c r="K2203" s="252">
        <f>K3744</f>
        <v>1912.71</v>
      </c>
    </row>
    <row r="2204" spans="1:11" hidden="1">
      <c r="A2204" s="251"/>
      <c r="F2204" s="362">
        <v>76</v>
      </c>
      <c r="H2204" s="296" t="s">
        <v>1931</v>
      </c>
      <c r="K2204" s="252">
        <f>K3294</f>
        <v>24.93</v>
      </c>
    </row>
    <row r="2205" spans="1:11" hidden="1">
      <c r="A2205" s="251"/>
      <c r="F2205" s="362">
        <v>77</v>
      </c>
      <c r="H2205" s="296" t="s">
        <v>2268</v>
      </c>
      <c r="K2205" s="252">
        <f>K3080</f>
        <v>214.21</v>
      </c>
    </row>
    <row r="2206" spans="1:11" ht="31.5" hidden="1">
      <c r="A2206" s="251"/>
      <c r="F2206" s="372">
        <v>77.099999999999994</v>
      </c>
      <c r="H2206" s="371" t="s">
        <v>1807</v>
      </c>
      <c r="K2206" s="269">
        <f>K3105</f>
        <v>249.61</v>
      </c>
    </row>
    <row r="2207" spans="1:11" hidden="1">
      <c r="A2207" s="251"/>
      <c r="F2207" s="366">
        <v>77.2</v>
      </c>
      <c r="H2207" s="296" t="s">
        <v>1808</v>
      </c>
      <c r="K2207" s="252">
        <v>500</v>
      </c>
    </row>
    <row r="2208" spans="1:11" hidden="1">
      <c r="A2208" s="251"/>
      <c r="F2208" s="366">
        <v>77.3</v>
      </c>
      <c r="H2208" s="296" t="s">
        <v>1501</v>
      </c>
      <c r="K2208" s="252">
        <f>K3712</f>
        <v>674.69</v>
      </c>
    </row>
    <row r="2209" spans="1:11" hidden="1">
      <c r="A2209" s="251"/>
      <c r="F2209" s="362">
        <v>78</v>
      </c>
      <c r="H2209" s="296" t="s">
        <v>79</v>
      </c>
      <c r="K2209" s="252">
        <f>K3319</f>
        <v>2630.25</v>
      </c>
    </row>
    <row r="2210" spans="1:11" hidden="1">
      <c r="A2210" s="251"/>
      <c r="F2210" s="362">
        <v>80</v>
      </c>
      <c r="H2210" s="296" t="s">
        <v>2116</v>
      </c>
      <c r="K2210" s="252">
        <f>K3441</f>
        <v>848</v>
      </c>
    </row>
    <row r="2211" spans="1:11" hidden="1">
      <c r="A2211" s="251"/>
      <c r="F2211" s="362">
        <v>81</v>
      </c>
      <c r="H2211" s="296" t="s">
        <v>91</v>
      </c>
      <c r="K2211" s="252">
        <f>K2178</f>
        <v>1125.04</v>
      </c>
    </row>
    <row r="2212" spans="1:11" hidden="1">
      <c r="A2212" s="251"/>
      <c r="F2212" s="362">
        <v>82</v>
      </c>
      <c r="H2212" s="296" t="s">
        <v>1549</v>
      </c>
      <c r="K2212" s="252">
        <f>K3638</f>
        <v>4551.28</v>
      </c>
    </row>
    <row r="2213" spans="1:11" hidden="1">
      <c r="A2213" s="251"/>
      <c r="F2213" s="362">
        <v>87</v>
      </c>
      <c r="H2213" s="296" t="s">
        <v>1762</v>
      </c>
      <c r="K2213" s="252">
        <f>K3458</f>
        <v>653.75</v>
      </c>
    </row>
    <row r="2214" spans="1:11" hidden="1">
      <c r="A2214" s="251"/>
    </row>
    <row r="2215" spans="1:11" hidden="1">
      <c r="A2215" s="251"/>
    </row>
    <row r="2216" spans="1:11" ht="31.5" hidden="1">
      <c r="A2216" s="251"/>
      <c r="F2216" s="380">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66">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375" t="s">
        <v>2891</v>
      </c>
      <c r="H2248" s="377"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383">
        <v>1.18E-2</v>
      </c>
      <c r="G2260" s="252" t="s">
        <v>869</v>
      </c>
      <c r="H2260" s="252" t="s">
        <v>692</v>
      </c>
      <c r="I2260" s="253">
        <f>I1083</f>
        <v>65420</v>
      </c>
      <c r="J2260" s="252" t="s">
        <v>869</v>
      </c>
      <c r="K2260" s="252">
        <f t="shared" ref="K2260:K2269" si="76">I2260*F2260</f>
        <v>771.96</v>
      </c>
    </row>
    <row r="2261" spans="1:11" hidden="1">
      <c r="A2261" s="251"/>
      <c r="F2261" s="383">
        <v>3.7699999999999997E-2</v>
      </c>
      <c r="G2261" s="252" t="s">
        <v>869</v>
      </c>
      <c r="H2261" s="252" t="s">
        <v>693</v>
      </c>
      <c r="I2261" s="253">
        <f>I1084</f>
        <v>57165</v>
      </c>
      <c r="J2261" s="252" t="s">
        <v>869</v>
      </c>
      <c r="K2261" s="252">
        <f t="shared" si="76"/>
        <v>2155.12</v>
      </c>
    </row>
    <row r="2262" spans="1:11" hidden="1">
      <c r="A2262" s="251"/>
      <c r="F2262" s="383">
        <v>1.8550000000000001E-2</v>
      </c>
      <c r="G2262" s="252" t="s">
        <v>869</v>
      </c>
      <c r="H2262" s="252" t="s">
        <v>886</v>
      </c>
      <c r="I2262" s="253">
        <f>I1085</f>
        <v>3035</v>
      </c>
      <c r="J2262" s="252" t="s">
        <v>869</v>
      </c>
      <c r="K2262" s="252">
        <f t="shared" si="76"/>
        <v>56.3</v>
      </c>
    </row>
    <row r="2263" spans="1:11" hidden="1">
      <c r="A2263" s="251"/>
      <c r="F2263" s="383">
        <v>1.36</v>
      </c>
      <c r="G2263" s="252" t="s">
        <v>609</v>
      </c>
      <c r="H2263" s="252" t="s">
        <v>887</v>
      </c>
      <c r="I2263" s="253">
        <v>385.89</v>
      </c>
      <c r="J2263" s="252" t="s">
        <v>609</v>
      </c>
      <c r="K2263" s="252">
        <f t="shared" si="76"/>
        <v>524.80999999999995</v>
      </c>
    </row>
    <row r="2264" spans="1:11" hidden="1">
      <c r="A2264" s="251"/>
      <c r="F2264" s="383">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383">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375"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633"/>
      <c r="G2339" s="633"/>
      <c r="H2339" s="633"/>
      <c r="I2339" s="633"/>
      <c r="J2339" s="633"/>
      <c r="K2339" s="633"/>
      <c r="L2339" s="633"/>
    </row>
    <row r="2340" spans="1:12" hidden="1">
      <c r="A2340" s="251"/>
      <c r="J2340" s="252"/>
    </row>
    <row r="2341" spans="1:12" ht="18" hidden="1">
      <c r="A2341" s="251"/>
      <c r="E2341" s="979" t="s">
        <v>2781</v>
      </c>
      <c r="F2341" s="979"/>
      <c r="G2341" s="979"/>
      <c r="H2341" s="979"/>
      <c r="I2341" s="979"/>
      <c r="J2341" s="979"/>
      <c r="K2341" s="979"/>
      <c r="L2341" s="634"/>
    </row>
    <row r="2342" spans="1:12" ht="18" hidden="1">
      <c r="A2342" s="251"/>
      <c r="J2342" s="252"/>
      <c r="L2342" s="635"/>
    </row>
    <row r="2343" spans="1:12" ht="18" hidden="1">
      <c r="A2343" s="251"/>
      <c r="E2343" s="390"/>
      <c r="F2343" s="634" t="s">
        <v>1038</v>
      </c>
      <c r="G2343" s="633"/>
      <c r="H2343" s="310" t="s">
        <v>1777</v>
      </c>
      <c r="I2343" s="634" t="s">
        <v>97</v>
      </c>
      <c r="J2343" s="310" t="s">
        <v>2782</v>
      </c>
      <c r="K2343" s="634" t="s">
        <v>974</v>
      </c>
      <c r="L2343" s="636"/>
    </row>
    <row r="2344" spans="1:12" ht="18" hidden="1">
      <c r="A2344" s="251"/>
      <c r="E2344" s="637">
        <v>18.100000000000001</v>
      </c>
      <c r="F2344" s="638" t="s">
        <v>2783</v>
      </c>
      <c r="H2344" s="639" t="s">
        <v>6323</v>
      </c>
      <c r="I2344" s="635"/>
      <c r="J2344" s="635"/>
      <c r="K2344" s="635"/>
      <c r="L2344" s="636"/>
    </row>
    <row r="2345" spans="1:12" ht="18" hidden="1">
      <c r="A2345" s="251"/>
      <c r="E2345" s="390"/>
      <c r="F2345" s="636"/>
      <c r="G2345" s="390"/>
      <c r="H2345" s="640" t="s">
        <v>2784</v>
      </c>
      <c r="I2345" s="636"/>
      <c r="J2345" s="390"/>
      <c r="K2345" s="636"/>
      <c r="L2345" s="636"/>
    </row>
    <row r="2346" spans="1:12" ht="20.25" hidden="1">
      <c r="A2346" s="251"/>
      <c r="E2346" s="390"/>
      <c r="F2346" s="636"/>
      <c r="G2346" s="390"/>
      <c r="H2346" s="640" t="s">
        <v>6324</v>
      </c>
      <c r="I2346" s="636"/>
      <c r="J2346" s="390"/>
      <c r="K2346" s="636"/>
      <c r="L2346" s="636"/>
    </row>
    <row r="2347" spans="1:12" ht="20.25" hidden="1">
      <c r="A2347" s="251"/>
      <c r="E2347" s="390"/>
      <c r="F2347" s="636"/>
      <c r="G2347" s="390"/>
      <c r="H2347" s="640" t="s">
        <v>6325</v>
      </c>
      <c r="I2347" s="636"/>
      <c r="J2347" s="390"/>
      <c r="K2347" s="636"/>
      <c r="L2347" s="636"/>
    </row>
    <row r="2348" spans="1:12" ht="18" hidden="1">
      <c r="A2348" s="251"/>
      <c r="E2348" s="390"/>
      <c r="F2348" s="636"/>
      <c r="G2348" s="390"/>
      <c r="H2348" s="640" t="s">
        <v>2785</v>
      </c>
      <c r="I2348" s="636"/>
      <c r="J2348" s="390"/>
      <c r="K2348" s="636"/>
      <c r="L2348" s="636"/>
    </row>
    <row r="2349" spans="1:12" ht="38.25" hidden="1">
      <c r="A2349" s="251"/>
      <c r="E2349" s="390"/>
      <c r="F2349" s="636"/>
      <c r="G2349" s="390"/>
      <c r="H2349" s="640" t="s">
        <v>6326</v>
      </c>
      <c r="I2349" s="636"/>
      <c r="J2349" s="390"/>
      <c r="K2349" s="636"/>
      <c r="L2349" s="636"/>
    </row>
    <row r="2350" spans="1:12" ht="72" hidden="1">
      <c r="A2350" s="251"/>
      <c r="E2350" s="390"/>
      <c r="F2350" s="636"/>
      <c r="G2350" s="390"/>
      <c r="H2350" s="640" t="s">
        <v>2786</v>
      </c>
      <c r="I2350" s="636"/>
      <c r="J2350" s="390"/>
      <c r="K2350" s="636"/>
      <c r="L2350" s="636"/>
    </row>
    <row r="2351" spans="1:12" ht="36" hidden="1">
      <c r="A2351" s="251"/>
      <c r="E2351" s="390"/>
      <c r="F2351" s="636"/>
      <c r="G2351" s="390"/>
      <c r="H2351" s="640" t="s">
        <v>2787</v>
      </c>
      <c r="I2351" s="636"/>
      <c r="J2351" s="390"/>
      <c r="K2351" s="636"/>
      <c r="L2351" s="636"/>
    </row>
    <row r="2352" spans="1:12" ht="38.25" hidden="1">
      <c r="A2352" s="251"/>
      <c r="E2352" s="390"/>
      <c r="F2352" s="636"/>
      <c r="G2352" s="390"/>
      <c r="H2352" s="640" t="s">
        <v>6327</v>
      </c>
      <c r="I2352" s="636"/>
      <c r="J2352" s="390"/>
      <c r="K2352" s="636"/>
      <c r="L2352" s="636"/>
    </row>
    <row r="2353" spans="1:12" ht="18" hidden="1">
      <c r="A2353" s="251"/>
      <c r="E2353" s="390"/>
      <c r="F2353" s="636"/>
      <c r="G2353" s="390"/>
      <c r="H2353" s="390"/>
      <c r="I2353" s="636"/>
      <c r="J2353" s="390"/>
      <c r="K2353" s="636"/>
      <c r="L2353" s="636"/>
    </row>
    <row r="2354" spans="1:12" ht="20.25" hidden="1">
      <c r="A2354" s="251"/>
      <c r="E2354" s="390"/>
      <c r="F2354" s="641">
        <v>62</v>
      </c>
      <c r="G2354" s="642" t="s">
        <v>6328</v>
      </c>
      <c r="H2354" s="643" t="s">
        <v>3190</v>
      </c>
      <c r="I2354" s="641">
        <f>K2378</f>
        <v>217.41</v>
      </c>
      <c r="J2354" s="642" t="s">
        <v>6328</v>
      </c>
      <c r="K2354" s="636">
        <f>I2354*F2354</f>
        <v>13479.42</v>
      </c>
      <c r="L2354" s="636"/>
    </row>
    <row r="2355" spans="1:12" ht="20.25" hidden="1">
      <c r="A2355" s="251"/>
      <c r="E2355" s="390"/>
      <c r="F2355" s="641">
        <v>121.64</v>
      </c>
      <c r="G2355" s="642" t="s">
        <v>6328</v>
      </c>
      <c r="H2355" s="643" t="s">
        <v>3191</v>
      </c>
      <c r="I2355" s="641">
        <f>I2383</f>
        <v>168.13</v>
      </c>
      <c r="J2355" s="642" t="s">
        <v>6329</v>
      </c>
      <c r="K2355" s="636">
        <f>I2355*F2355</f>
        <v>20451.330000000002</v>
      </c>
      <c r="L2355" s="644"/>
    </row>
    <row r="2356" spans="1:12" ht="20.25" hidden="1">
      <c r="A2356" s="251"/>
      <c r="E2356" s="390"/>
      <c r="F2356" s="636"/>
      <c r="G2356" s="390"/>
      <c r="H2356" s="643" t="s">
        <v>6330</v>
      </c>
      <c r="I2356" s="636"/>
      <c r="J2356" s="390"/>
      <c r="K2356" s="636">
        <f>SUM(K2354:K2355)</f>
        <v>33930.75</v>
      </c>
      <c r="L2356" s="645"/>
    </row>
    <row r="2357" spans="1:12" ht="20.25" hidden="1">
      <c r="A2357" s="251"/>
      <c r="E2357" s="390"/>
      <c r="F2357" s="636"/>
      <c r="G2357" s="390"/>
      <c r="H2357" s="643" t="s">
        <v>6331</v>
      </c>
      <c r="I2357" s="636"/>
      <c r="J2357" s="390"/>
      <c r="K2357" s="644">
        <f>K2356/F2354</f>
        <v>547.27</v>
      </c>
      <c r="L2357" s="636"/>
    </row>
    <row r="2358" spans="1:12" ht="18" hidden="1">
      <c r="A2358" s="251"/>
      <c r="E2358" s="390"/>
      <c r="F2358" s="636"/>
      <c r="G2358" s="390"/>
      <c r="H2358" s="642"/>
      <c r="I2358" s="636"/>
      <c r="J2358" s="390"/>
      <c r="K2358" s="645"/>
      <c r="L2358" s="636"/>
    </row>
    <row r="2359" spans="1:12" ht="18" hidden="1">
      <c r="A2359" s="251"/>
      <c r="E2359" s="646">
        <v>18.100000000000001</v>
      </c>
      <c r="F2359" s="638" t="s">
        <v>3192</v>
      </c>
      <c r="G2359" s="390"/>
      <c r="H2359" s="647" t="s">
        <v>2733</v>
      </c>
      <c r="I2359" s="636"/>
      <c r="J2359" s="390"/>
      <c r="K2359" s="636"/>
      <c r="L2359" s="636"/>
    </row>
    <row r="2360" spans="1:12" ht="18" hidden="1">
      <c r="A2360" s="251"/>
      <c r="E2360" s="390"/>
      <c r="F2360" s="636"/>
      <c r="G2360" s="390"/>
      <c r="H2360" s="390"/>
      <c r="I2360" s="636"/>
      <c r="J2360" s="390"/>
      <c r="K2360" s="636"/>
      <c r="L2360" s="636"/>
    </row>
    <row r="2361" spans="1:12" ht="18" hidden="1">
      <c r="A2361" s="251"/>
      <c r="E2361" s="390"/>
      <c r="F2361" s="641">
        <v>13.46</v>
      </c>
      <c r="G2361" s="642" t="s">
        <v>1645</v>
      </c>
      <c r="H2361" s="640" t="s">
        <v>2734</v>
      </c>
      <c r="I2361" s="641">
        <f>I706</f>
        <v>30</v>
      </c>
      <c r="J2361" s="642" t="s">
        <v>1645</v>
      </c>
      <c r="K2361" s="636">
        <f>I2361*F2361</f>
        <v>403.8</v>
      </c>
      <c r="L2361" s="636"/>
    </row>
    <row r="2362" spans="1:12" ht="18" hidden="1">
      <c r="A2362" s="251"/>
      <c r="E2362" s="390"/>
      <c r="F2362" s="641">
        <v>4</v>
      </c>
      <c r="G2362" s="642" t="s">
        <v>1645</v>
      </c>
      <c r="H2362" s="640" t="s">
        <v>2735</v>
      </c>
      <c r="I2362" s="641">
        <f>I708</f>
        <v>30</v>
      </c>
      <c r="J2362" s="642" t="s">
        <v>1645</v>
      </c>
      <c r="K2362" s="636">
        <f>I2362*F2362</f>
        <v>120</v>
      </c>
      <c r="L2362" s="648"/>
    </row>
    <row r="2363" spans="1:12" ht="18" hidden="1">
      <c r="A2363" s="251"/>
      <c r="E2363" s="390"/>
      <c r="F2363" s="641">
        <v>1</v>
      </c>
      <c r="G2363" s="642" t="s">
        <v>2736</v>
      </c>
      <c r="H2363" s="640" t="s">
        <v>3435</v>
      </c>
      <c r="I2363" s="641">
        <v>40</v>
      </c>
      <c r="J2363" s="642" t="s">
        <v>449</v>
      </c>
      <c r="K2363" s="636">
        <f>I2363*F2363</f>
        <v>40</v>
      </c>
      <c r="L2363" s="636"/>
    </row>
    <row r="2364" spans="1:12" ht="18" hidden="1">
      <c r="A2364" s="251"/>
      <c r="E2364" s="390"/>
      <c r="F2364" s="636"/>
      <c r="G2364" s="390"/>
      <c r="H2364" s="649" t="s">
        <v>3436</v>
      </c>
      <c r="I2364" s="636"/>
      <c r="J2364" s="390"/>
      <c r="K2364" s="648">
        <f>SUM(K2361:K2363)</f>
        <v>563.79999999999995</v>
      </c>
      <c r="L2364" s="636"/>
    </row>
    <row r="2365" spans="1:12" ht="18" hidden="1">
      <c r="A2365" s="251"/>
      <c r="E2365" s="390"/>
      <c r="F2365" s="636"/>
      <c r="G2365" s="390"/>
      <c r="H2365" s="649" t="s">
        <v>3437</v>
      </c>
      <c r="I2365" s="645">
        <f>K2364/40</f>
        <v>14.1</v>
      </c>
      <c r="J2365" s="390"/>
      <c r="K2365" s="636"/>
      <c r="L2365" s="636"/>
    </row>
    <row r="2366" spans="1:12" ht="18" hidden="1">
      <c r="A2366" s="251"/>
      <c r="E2366" s="390"/>
      <c r="F2366" s="636"/>
      <c r="G2366" s="390"/>
      <c r="H2366" s="390"/>
      <c r="I2366" s="636"/>
      <c r="J2366" s="390"/>
      <c r="K2366" s="636"/>
      <c r="L2366" s="636"/>
    </row>
    <row r="2367" spans="1:12" ht="18" hidden="1">
      <c r="A2367" s="251"/>
      <c r="E2367" s="390"/>
      <c r="F2367" s="641">
        <v>19</v>
      </c>
      <c r="G2367" s="642" t="s">
        <v>1394</v>
      </c>
      <c r="H2367" s="390" t="s">
        <v>3438</v>
      </c>
      <c r="I2367" s="641">
        <f>I2365</f>
        <v>14.1</v>
      </c>
      <c r="J2367" s="642" t="s">
        <v>1760</v>
      </c>
      <c r="K2367" s="636">
        <f>I2367*F2367</f>
        <v>267.89999999999998</v>
      </c>
      <c r="L2367" s="636"/>
    </row>
    <row r="2368" spans="1:12" ht="18" hidden="1">
      <c r="A2368" s="251"/>
      <c r="E2368" s="390"/>
      <c r="F2368" s="641">
        <v>0.12</v>
      </c>
      <c r="G2368" s="642" t="s">
        <v>367</v>
      </c>
      <c r="H2368" s="390" t="s">
        <v>3439</v>
      </c>
      <c r="I2368" s="641">
        <f>C268/5</f>
        <v>1879</v>
      </c>
      <c r="J2368" s="642" t="s">
        <v>367</v>
      </c>
      <c r="K2368" s="636">
        <f>I2368*F2368</f>
        <v>225.48</v>
      </c>
      <c r="L2368" s="636"/>
    </row>
    <row r="2369" spans="1:12" ht="18" hidden="1">
      <c r="A2369" s="251"/>
      <c r="E2369" s="390"/>
      <c r="F2369" s="641">
        <v>98.5</v>
      </c>
      <c r="G2369" s="642" t="s">
        <v>3440</v>
      </c>
      <c r="H2369" s="390" t="s">
        <v>2603</v>
      </c>
      <c r="I2369" s="641">
        <f>C269/5</f>
        <v>3</v>
      </c>
      <c r="J2369" s="642" t="s">
        <v>3440</v>
      </c>
      <c r="K2369" s="636">
        <f>I2369*F2369</f>
        <v>295.5</v>
      </c>
      <c r="L2369" s="650"/>
    </row>
    <row r="2370" spans="1:12" ht="18" hidden="1">
      <c r="A2370" s="251"/>
      <c r="E2370" s="390"/>
      <c r="F2370" s="980" t="s">
        <v>449</v>
      </c>
      <c r="G2370" s="980"/>
      <c r="H2370" s="390" t="s">
        <v>2604</v>
      </c>
      <c r="I2370" s="641">
        <v>11</v>
      </c>
      <c r="J2370" s="642" t="s">
        <v>449</v>
      </c>
      <c r="K2370" s="636">
        <f>I2370</f>
        <v>11</v>
      </c>
      <c r="L2370" s="650"/>
    </row>
    <row r="2371" spans="1:12" ht="20.25" hidden="1">
      <c r="A2371" s="251"/>
      <c r="E2371" s="390"/>
      <c r="F2371" s="641">
        <v>3.8</v>
      </c>
      <c r="G2371" s="642" t="s">
        <v>1394</v>
      </c>
      <c r="H2371" s="390" t="s">
        <v>6332</v>
      </c>
      <c r="I2371" s="641">
        <f>C16</f>
        <v>150</v>
      </c>
      <c r="J2371" s="642" t="s">
        <v>1394</v>
      </c>
      <c r="K2371" s="650">
        <f>I2371*F2371</f>
        <v>570</v>
      </c>
      <c r="L2371" s="650"/>
    </row>
    <row r="2372" spans="1:12" ht="20.25" hidden="1">
      <c r="A2372" s="251"/>
      <c r="E2372" s="390"/>
      <c r="F2372" s="641">
        <v>5.4</v>
      </c>
      <c r="G2372" s="642" t="s">
        <v>1394</v>
      </c>
      <c r="H2372" s="390" t="s">
        <v>6333</v>
      </c>
      <c r="I2372" s="641">
        <f>C12</f>
        <v>95</v>
      </c>
      <c r="J2372" s="642" t="s">
        <v>1394</v>
      </c>
      <c r="K2372" s="650">
        <f>I2372*F2372</f>
        <v>513</v>
      </c>
      <c r="L2372" s="636"/>
    </row>
    <row r="2373" spans="1:12" ht="20.25" hidden="1">
      <c r="A2373" s="251"/>
      <c r="E2373" s="390"/>
      <c r="F2373" s="641">
        <v>1</v>
      </c>
      <c r="G2373" s="642" t="s">
        <v>1394</v>
      </c>
      <c r="H2373" s="390" t="s">
        <v>6334</v>
      </c>
      <c r="I2373" s="641">
        <f>D17</f>
        <v>120</v>
      </c>
      <c r="J2373" s="642" t="s">
        <v>1394</v>
      </c>
      <c r="K2373" s="650">
        <f>I2373*F2373</f>
        <v>120</v>
      </c>
      <c r="L2373" s="651"/>
    </row>
    <row r="2374" spans="1:12" ht="18" hidden="1">
      <c r="A2374" s="251"/>
      <c r="E2374" s="390"/>
      <c r="F2374" s="980" t="s">
        <v>449</v>
      </c>
      <c r="G2374" s="980"/>
      <c r="H2374" s="390" t="s">
        <v>2605</v>
      </c>
      <c r="I2374" s="980" t="s">
        <v>449</v>
      </c>
      <c r="J2374" s="980"/>
      <c r="K2374" s="636">
        <v>10</v>
      </c>
      <c r="L2374" s="645"/>
    </row>
    <row r="2375" spans="1:12" ht="18" hidden="1">
      <c r="A2375" s="251"/>
      <c r="E2375" s="390"/>
      <c r="F2375" s="641">
        <v>19</v>
      </c>
      <c r="G2375" s="642" t="s">
        <v>1760</v>
      </c>
      <c r="H2375" s="390" t="s">
        <v>2606</v>
      </c>
      <c r="I2375" s="641">
        <v>2</v>
      </c>
      <c r="J2375" s="642" t="s">
        <v>449</v>
      </c>
      <c r="K2375" s="651">
        <f>I2375*F2375</f>
        <v>38</v>
      </c>
      <c r="L2375" s="636"/>
    </row>
    <row r="2376" spans="1:12" ht="18" hidden="1">
      <c r="A2376" s="251"/>
      <c r="E2376" s="390"/>
      <c r="F2376" s="636"/>
      <c r="G2376" s="390"/>
      <c r="H2376" s="390"/>
      <c r="I2376" s="636"/>
      <c r="J2376" s="390"/>
      <c r="K2376" s="645">
        <f>SUM(K2367:K2375)</f>
        <v>2050.88</v>
      </c>
      <c r="L2376" s="645"/>
    </row>
    <row r="2377" spans="1:12" ht="20.25" hidden="1">
      <c r="A2377" s="251"/>
      <c r="E2377" s="390"/>
      <c r="F2377" s="636"/>
      <c r="G2377" s="390"/>
      <c r="H2377" s="649" t="s">
        <v>6335</v>
      </c>
      <c r="I2377" s="645">
        <f>K2376/10</f>
        <v>205.09</v>
      </c>
      <c r="J2377" s="390"/>
      <c r="K2377" s="636"/>
      <c r="L2377" s="636"/>
    </row>
    <row r="2378" spans="1:12" ht="18" hidden="1">
      <c r="A2378" s="251"/>
      <c r="E2378" s="390"/>
      <c r="F2378" s="636"/>
      <c r="G2378" s="390"/>
      <c r="H2378" s="310" t="s">
        <v>2607</v>
      </c>
      <c r="I2378" s="645">
        <f>I2377</f>
        <v>205.09</v>
      </c>
      <c r="J2378" s="385">
        <f>I2393</f>
        <v>12.32</v>
      </c>
      <c r="K2378" s="645">
        <f>I2378+J2378</f>
        <v>217.41</v>
      </c>
      <c r="L2378" s="636"/>
    </row>
    <row r="2379" spans="1:12" ht="36" hidden="1">
      <c r="A2379" s="251"/>
      <c r="E2379" s="646">
        <v>18.100000000000001</v>
      </c>
      <c r="F2379" s="638" t="s">
        <v>2608</v>
      </c>
      <c r="G2379" s="390"/>
      <c r="H2379" s="652" t="s">
        <v>3370</v>
      </c>
      <c r="I2379" s="636"/>
      <c r="J2379" s="390"/>
      <c r="K2379" s="636"/>
      <c r="L2379" s="636"/>
    </row>
    <row r="2380" spans="1:12" ht="18" hidden="1">
      <c r="A2380" s="251"/>
      <c r="E2380" s="390"/>
      <c r="F2380" s="636"/>
      <c r="G2380" s="390"/>
      <c r="H2380" s="390" t="s">
        <v>3371</v>
      </c>
      <c r="I2380" s="641">
        <f>K2376</f>
        <v>2050.88</v>
      </c>
      <c r="J2380" s="390"/>
      <c r="K2380" s="636"/>
      <c r="L2380" s="636"/>
    </row>
    <row r="2381" spans="1:12" ht="18" hidden="1">
      <c r="A2381" s="251"/>
      <c r="E2381" s="390"/>
      <c r="F2381" s="636"/>
      <c r="G2381" s="390"/>
      <c r="H2381" s="390" t="s">
        <v>2603</v>
      </c>
      <c r="I2381" s="641">
        <f>K2391</f>
        <v>369.6</v>
      </c>
      <c r="J2381" s="646" t="s">
        <v>3372</v>
      </c>
      <c r="K2381" s="636"/>
      <c r="L2381" s="636"/>
    </row>
    <row r="2382" spans="1:12" ht="18" hidden="1">
      <c r="A2382" s="251"/>
      <c r="E2382" s="390"/>
      <c r="F2382" s="636"/>
      <c r="G2382" s="390"/>
      <c r="H2382" s="390"/>
      <c r="I2382" s="638">
        <f>I2380-I2381</f>
        <v>1681.28</v>
      </c>
      <c r="J2382" s="390"/>
      <c r="K2382" s="636"/>
      <c r="L2382" s="636"/>
    </row>
    <row r="2383" spans="1:12" ht="20.25" hidden="1">
      <c r="A2383" s="251"/>
      <c r="E2383" s="390"/>
      <c r="F2383" s="636"/>
      <c r="G2383" s="390"/>
      <c r="H2383" s="649" t="s">
        <v>6335</v>
      </c>
      <c r="I2383" s="638">
        <f>I2382/10</f>
        <v>168.13</v>
      </c>
      <c r="J2383" s="390"/>
      <c r="K2383" s="636"/>
      <c r="L2383" s="636"/>
    </row>
    <row r="2384" spans="1:12" ht="18" hidden="1">
      <c r="A2384" s="251"/>
      <c r="E2384" s="390"/>
      <c r="F2384" s="636"/>
      <c r="G2384" s="390"/>
      <c r="H2384" s="390"/>
      <c r="I2384" s="636"/>
      <c r="J2384" s="390"/>
      <c r="K2384" s="636"/>
      <c r="L2384" s="636"/>
    </row>
    <row r="2385" spans="1:12" ht="18" hidden="1">
      <c r="A2385" s="251"/>
      <c r="E2385" s="390"/>
      <c r="F2385" s="636"/>
      <c r="G2385" s="390"/>
      <c r="H2385" s="646" t="s">
        <v>3373</v>
      </c>
      <c r="I2385" s="636"/>
      <c r="J2385" s="390"/>
      <c r="K2385" s="636"/>
      <c r="L2385" s="641"/>
    </row>
    <row r="2386" spans="1:12" ht="36" hidden="1">
      <c r="A2386" s="251"/>
      <c r="E2386" s="390"/>
      <c r="F2386" s="636"/>
      <c r="G2386" s="390"/>
      <c r="H2386" s="652" t="s">
        <v>2360</v>
      </c>
      <c r="I2386" s="636"/>
      <c r="J2386" s="390"/>
      <c r="K2386" s="636"/>
      <c r="L2386" s="641"/>
    </row>
    <row r="2387" spans="1:12" ht="36" hidden="1">
      <c r="A2387" s="251"/>
      <c r="E2387" s="390"/>
      <c r="F2387" s="641">
        <v>98.5</v>
      </c>
      <c r="G2387" s="642" t="s">
        <v>3440</v>
      </c>
      <c r="H2387" s="653" t="s">
        <v>2361</v>
      </c>
      <c r="I2387" s="641">
        <f>I2369</f>
        <v>3</v>
      </c>
      <c r="J2387" s="642" t="s">
        <v>3440</v>
      </c>
      <c r="K2387" s="641">
        <f>I2387*F2387</f>
        <v>295.5</v>
      </c>
      <c r="L2387" s="641"/>
    </row>
    <row r="2388" spans="1:12" ht="20.25" hidden="1">
      <c r="A2388" s="251"/>
      <c r="E2388" s="390"/>
      <c r="F2388" s="641">
        <v>0.3</v>
      </c>
      <c r="G2388" s="642" t="s">
        <v>1760</v>
      </c>
      <c r="H2388" s="653" t="s">
        <v>6336</v>
      </c>
      <c r="I2388" s="641">
        <f>I2371</f>
        <v>150</v>
      </c>
      <c r="J2388" s="642" t="s">
        <v>1760</v>
      </c>
      <c r="K2388" s="641">
        <f>I2388*F2388</f>
        <v>45</v>
      </c>
      <c r="L2388" s="641"/>
    </row>
    <row r="2389" spans="1:12" ht="20.25" hidden="1">
      <c r="A2389" s="251"/>
      <c r="E2389" s="390"/>
      <c r="F2389" s="641">
        <v>0.3</v>
      </c>
      <c r="G2389" s="642" t="s">
        <v>1760</v>
      </c>
      <c r="H2389" s="653" t="s">
        <v>6337</v>
      </c>
      <c r="I2389" s="641">
        <f>I2372</f>
        <v>95</v>
      </c>
      <c r="J2389" s="642" t="s">
        <v>1760</v>
      </c>
      <c r="K2389" s="641">
        <f>I2389*F2389</f>
        <v>28.5</v>
      </c>
      <c r="L2389" s="638"/>
    </row>
    <row r="2390" spans="1:12" ht="18" hidden="1">
      <c r="A2390" s="251"/>
      <c r="E2390" s="390"/>
      <c r="F2390" s="636"/>
      <c r="G2390" s="390"/>
      <c r="H2390" s="654" t="s">
        <v>2362</v>
      </c>
      <c r="I2390" s="981" t="s">
        <v>449</v>
      </c>
      <c r="J2390" s="981"/>
      <c r="K2390" s="641">
        <v>0.6</v>
      </c>
      <c r="L2390" s="636"/>
    </row>
    <row r="2391" spans="1:12" ht="20.25" hidden="1">
      <c r="A2391" s="251"/>
      <c r="E2391" s="390"/>
      <c r="F2391" s="636"/>
      <c r="G2391" s="390"/>
      <c r="H2391" s="654" t="s">
        <v>6338</v>
      </c>
      <c r="I2391" s="636"/>
      <c r="J2391" s="390"/>
      <c r="K2391" s="638">
        <f>SUM(K2387:K2390)</f>
        <v>369.6</v>
      </c>
      <c r="L2391" s="636"/>
    </row>
    <row r="2392" spans="1:12" ht="20.25" hidden="1">
      <c r="A2392" s="251"/>
      <c r="E2392" s="390"/>
      <c r="F2392" s="636"/>
      <c r="G2392" s="390"/>
      <c r="H2392" s="654" t="s">
        <v>6339</v>
      </c>
      <c r="I2392" s="645">
        <f>K2391/10</f>
        <v>36.96</v>
      </c>
      <c r="J2392" s="390"/>
      <c r="K2392" s="636"/>
      <c r="L2392" s="636"/>
    </row>
    <row r="2393" spans="1:12" ht="18" hidden="1">
      <c r="A2393" s="251"/>
      <c r="E2393" s="390"/>
      <c r="F2393" s="636"/>
      <c r="G2393" s="390"/>
      <c r="H2393" s="654" t="s">
        <v>2363</v>
      </c>
      <c r="I2393" s="645">
        <f>I2392/3</f>
        <v>12.32</v>
      </c>
      <c r="J2393" s="390"/>
      <c r="K2393" s="636"/>
      <c r="L2393" s="636"/>
    </row>
    <row r="2394" spans="1:12" ht="18" hidden="1">
      <c r="A2394" s="251"/>
      <c r="E2394" s="390"/>
      <c r="F2394" s="636"/>
      <c r="G2394" s="390"/>
      <c r="H2394" s="653"/>
      <c r="I2394" s="636"/>
      <c r="J2394" s="390"/>
      <c r="K2394" s="636"/>
      <c r="L2394" s="636"/>
    </row>
    <row r="2395" spans="1:12" ht="54" hidden="1">
      <c r="A2395" s="251"/>
      <c r="E2395" s="646">
        <v>18.100000000000001</v>
      </c>
      <c r="F2395" s="638" t="s">
        <v>2278</v>
      </c>
      <c r="G2395" s="390"/>
      <c r="H2395" s="627" t="s">
        <v>3006</v>
      </c>
      <c r="I2395" s="638">
        <f>I2377*1.2</f>
        <v>246.11</v>
      </c>
      <c r="J2395" s="390"/>
      <c r="K2395" s="636"/>
    </row>
    <row r="2396" spans="1:12" ht="36" hidden="1">
      <c r="A2396" s="251"/>
      <c r="E2396" s="637">
        <v>18.100000000000001</v>
      </c>
      <c r="F2396" s="638" t="s">
        <v>3007</v>
      </c>
      <c r="G2396" s="390"/>
      <c r="H2396" s="655" t="s">
        <v>3008</v>
      </c>
      <c r="I2396" s="638">
        <f>I2377*1.1</f>
        <v>225.6</v>
      </c>
      <c r="J2396" s="390"/>
      <c r="K2396" s="636"/>
    </row>
    <row r="2397" spans="1:12" hidden="1">
      <c r="A2397" s="251"/>
    </row>
    <row r="2398" spans="1:12" hidden="1">
      <c r="A2398" s="251"/>
    </row>
    <row r="2399" spans="1:12" ht="22.5" hidden="1">
      <c r="A2399" s="251"/>
      <c r="H2399" s="656" t="s">
        <v>2386</v>
      </c>
    </row>
    <row r="2400" spans="1:12" ht="16.5" hidden="1">
      <c r="A2400" s="251"/>
      <c r="F2400" s="657">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658" t="s">
        <v>2608</v>
      </c>
      <c r="G2438" s="375"/>
      <c r="H2438" s="659" t="s">
        <v>3444</v>
      </c>
    </row>
    <row r="2439" spans="1:11" hidden="1">
      <c r="A2439" s="251"/>
      <c r="F2439" s="375"/>
      <c r="K2439" s="36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67">
        <v>0.6</v>
      </c>
    </row>
    <row r="2444" spans="1:11" hidden="1">
      <c r="A2444" s="251"/>
      <c r="H2444" s="253" t="s">
        <v>441</v>
      </c>
      <c r="K2444" s="252">
        <f>SUM(K2440:K2443)</f>
        <v>369.6</v>
      </c>
    </row>
    <row r="2445" spans="1:11" hidden="1">
      <c r="A2445" s="251"/>
      <c r="H2445" s="296"/>
      <c r="K2445" s="367" t="s">
        <v>429</v>
      </c>
    </row>
    <row r="2446" spans="1:11" hidden="1">
      <c r="A2446" s="251"/>
      <c r="H2446" s="253" t="s">
        <v>552</v>
      </c>
      <c r="K2446" s="252">
        <f>K2444/10</f>
        <v>36.96</v>
      </c>
    </row>
    <row r="2447" spans="1:11" hidden="1">
      <c r="A2447" s="251"/>
      <c r="H2447" s="253"/>
    </row>
    <row r="2448" spans="1:11" ht="31.5" hidden="1">
      <c r="A2448" s="251"/>
      <c r="H2448" s="371" t="s">
        <v>3445</v>
      </c>
      <c r="J2448" s="253" t="s">
        <v>3446</v>
      </c>
      <c r="K2448" s="252">
        <f>K2435-K2446</f>
        <v>168.13</v>
      </c>
    </row>
    <row r="2449" spans="1:11" hidden="1">
      <c r="A2449" s="251"/>
      <c r="H2449" s="296"/>
      <c r="K2449" s="367" t="s">
        <v>32</v>
      </c>
    </row>
    <row r="2450" spans="1:11" hidden="1">
      <c r="A2450" s="251"/>
    </row>
    <row r="2451" spans="1:11" ht="42.75" hidden="1">
      <c r="A2451" s="251"/>
      <c r="F2451" s="658" t="s">
        <v>3192</v>
      </c>
      <c r="H2451" s="659" t="s">
        <v>3009</v>
      </c>
      <c r="J2451" s="253" t="s">
        <v>3446</v>
      </c>
      <c r="K2451" s="252">
        <f>K2435</f>
        <v>205.09</v>
      </c>
    </row>
    <row r="2452" spans="1:11" hidden="1">
      <c r="A2452" s="251"/>
      <c r="H2452" s="296"/>
      <c r="K2452" s="367" t="s">
        <v>32</v>
      </c>
    </row>
    <row r="2453" spans="1:11" ht="28.5" hidden="1">
      <c r="A2453" s="251"/>
      <c r="F2453" s="658" t="s">
        <v>2278</v>
      </c>
      <c r="H2453" s="659" t="s">
        <v>3006</v>
      </c>
      <c r="J2453" s="253" t="s">
        <v>3446</v>
      </c>
      <c r="K2453" s="367">
        <f>K2451*1.2</f>
        <v>246.11</v>
      </c>
    </row>
    <row r="2454" spans="1:11" hidden="1">
      <c r="A2454" s="251"/>
      <c r="K2454" s="367" t="s">
        <v>1224</v>
      </c>
    </row>
    <row r="2455" spans="1:11" ht="20.25" hidden="1">
      <c r="A2455" s="251"/>
      <c r="F2455" s="658" t="s">
        <v>3007</v>
      </c>
      <c r="H2455" s="659" t="s">
        <v>3008</v>
      </c>
      <c r="J2455" s="253" t="s">
        <v>3446</v>
      </c>
      <c r="K2455" s="252">
        <f>K2451*1.1</f>
        <v>225.6</v>
      </c>
    </row>
    <row r="2456" spans="1:11" hidden="1">
      <c r="A2456" s="251"/>
      <c r="K2456" s="367" t="s">
        <v>1224</v>
      </c>
    </row>
    <row r="2457" spans="1:11" hidden="1">
      <c r="A2457" s="251"/>
    </row>
    <row r="2458" spans="1:11" hidden="1">
      <c r="A2458" s="251"/>
      <c r="F2458" s="252">
        <v>50.6</v>
      </c>
      <c r="G2458" s="252" t="s">
        <v>675</v>
      </c>
      <c r="H2458" s="296" t="s">
        <v>1147</v>
      </c>
    </row>
    <row r="2459" spans="1:11" ht="31.5" hidden="1">
      <c r="A2459" s="251"/>
      <c r="H2459" s="371" t="s">
        <v>6340</v>
      </c>
    </row>
    <row r="2460" spans="1:11" hidden="1">
      <c r="A2460" s="251"/>
      <c r="H2460" s="358" t="s">
        <v>1586</v>
      </c>
      <c r="I2460" s="358" t="s">
        <v>1586</v>
      </c>
    </row>
    <row r="2461" spans="1:11" ht="18" hidden="1">
      <c r="A2461" s="251"/>
      <c r="H2461" s="358" t="s">
        <v>6341</v>
      </c>
      <c r="I2461" s="358"/>
    </row>
    <row r="2462" spans="1:11" ht="18" hidden="1">
      <c r="A2462" s="251"/>
      <c r="H2462" s="358" t="s">
        <v>6342</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391" t="s">
        <v>3224</v>
      </c>
    </row>
    <row r="2474" spans="1:11" hidden="1">
      <c r="A2474" s="251"/>
      <c r="H2474" s="253" t="s">
        <v>3225</v>
      </c>
      <c r="K2474" s="252" t="e">
        <f>K2472/39.2</f>
        <v>#REF!</v>
      </c>
    </row>
    <row r="2475" spans="1:11" hidden="1">
      <c r="A2475" s="251"/>
      <c r="K2475" s="367" t="s">
        <v>1224</v>
      </c>
    </row>
    <row r="2476" spans="1:11" hidden="1">
      <c r="A2476" s="251"/>
      <c r="H2476" s="393" t="s">
        <v>3216</v>
      </c>
    </row>
    <row r="2477" spans="1:11" hidden="1">
      <c r="A2477" s="251"/>
      <c r="H2477" s="252" t="s">
        <v>3217</v>
      </c>
      <c r="I2477" s="252" t="s">
        <v>3248</v>
      </c>
    </row>
    <row r="2478" spans="1:11" hidden="1">
      <c r="A2478" s="251"/>
      <c r="I2478" s="36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660">
        <v>83</v>
      </c>
      <c r="H2488" s="268" t="s">
        <v>3304</v>
      </c>
    </row>
    <row r="2489" spans="1:11" hidden="1">
      <c r="A2489" s="251"/>
      <c r="H2489" s="36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661">
        <v>79.099999999999994</v>
      </c>
      <c r="H2495" s="252" t="s">
        <v>3343</v>
      </c>
    </row>
    <row r="2496" spans="1:11" hidden="1">
      <c r="A2496" s="251"/>
      <c r="H2496" s="36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67" t="s">
        <v>2328</v>
      </c>
    </row>
    <row r="2502" spans="1:11" hidden="1">
      <c r="A2502" s="251"/>
      <c r="K2502" s="252">
        <f>SUM(K2497:K2501)</f>
        <v>161</v>
      </c>
    </row>
    <row r="2503" spans="1:11" hidden="1">
      <c r="A2503" s="251"/>
      <c r="K2503" s="36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6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6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383">
        <v>1.153E-2</v>
      </c>
      <c r="G2522" s="252" t="s">
        <v>869</v>
      </c>
      <c r="H2522" s="296" t="s">
        <v>692</v>
      </c>
      <c r="I2522" s="252">
        <f t="shared" ref="I2522:I2531" si="81">I1011</f>
        <v>65420</v>
      </c>
      <c r="J2522" s="253" t="s">
        <v>869</v>
      </c>
      <c r="K2522" s="252">
        <f t="shared" ref="K2522:K2531" si="82">(F2522*I2522)</f>
        <v>754.29</v>
      </c>
    </row>
    <row r="2523" spans="1:11" hidden="1">
      <c r="A2523" s="251"/>
      <c r="F2523" s="383">
        <v>1.52E-2</v>
      </c>
      <c r="G2523" s="252" t="s">
        <v>869</v>
      </c>
      <c r="H2523" s="296" t="s">
        <v>693</v>
      </c>
      <c r="I2523" s="252">
        <f t="shared" si="81"/>
        <v>57165</v>
      </c>
      <c r="J2523" s="253" t="s">
        <v>869</v>
      </c>
      <c r="K2523" s="252">
        <f t="shared" si="82"/>
        <v>868.91</v>
      </c>
    </row>
    <row r="2524" spans="1:11" hidden="1">
      <c r="A2524" s="251"/>
      <c r="F2524" s="383">
        <v>1.2787999999999999</v>
      </c>
      <c r="G2524" s="252" t="s">
        <v>609</v>
      </c>
      <c r="H2524" s="296" t="s">
        <v>2091</v>
      </c>
      <c r="I2524" s="252">
        <f t="shared" si="81"/>
        <v>381.37</v>
      </c>
      <c r="J2524" s="253" t="s">
        <v>609</v>
      </c>
      <c r="K2524" s="252">
        <f t="shared" si="82"/>
        <v>487.7</v>
      </c>
    </row>
    <row r="2525" spans="1:11" hidden="1">
      <c r="A2525" s="251"/>
      <c r="F2525" s="383">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66">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39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373">
        <v>3.5400000000000001E-2</v>
      </c>
    </row>
    <row r="2546" spans="1:11" hidden="1">
      <c r="A2546" s="251"/>
      <c r="J2546" s="253" t="s">
        <v>975</v>
      </c>
      <c r="K2546" s="358" t="s">
        <v>1586</v>
      </c>
    </row>
    <row r="2547" spans="1:11" hidden="1">
      <c r="A2547" s="251"/>
      <c r="H2547" s="296" t="s">
        <v>2671</v>
      </c>
      <c r="J2547" s="392" t="s">
        <v>975</v>
      </c>
      <c r="K2547" s="373">
        <v>2.5899999999999999E-2</v>
      </c>
    </row>
    <row r="2548" spans="1:11" hidden="1">
      <c r="A2548" s="251"/>
      <c r="H2548" s="296" t="s">
        <v>2672</v>
      </c>
      <c r="J2548" s="253" t="s">
        <v>975</v>
      </c>
      <c r="K2548" s="373">
        <v>6.4999999999999997E-3</v>
      </c>
    </row>
    <row r="2549" spans="1:11" hidden="1">
      <c r="A2549" s="251"/>
      <c r="K2549" s="358" t="s">
        <v>1586</v>
      </c>
    </row>
    <row r="2550" spans="1:11" hidden="1">
      <c r="A2550" s="251"/>
      <c r="K2550" s="373">
        <v>3.2300000000000002E-2</v>
      </c>
    </row>
    <row r="2551" spans="1:11" hidden="1">
      <c r="A2551" s="251"/>
      <c r="K2551" s="358" t="s">
        <v>1586</v>
      </c>
    </row>
    <row r="2552" spans="1:11" hidden="1">
      <c r="A2552" s="251"/>
    </row>
    <row r="2553" spans="1:11" hidden="1">
      <c r="A2553" s="251"/>
    </row>
    <row r="2554" spans="1:11" hidden="1">
      <c r="A2554" s="251"/>
      <c r="F2554" s="373">
        <v>2.2800000000000001E-2</v>
      </c>
      <c r="G2554" s="252" t="s">
        <v>869</v>
      </c>
      <c r="H2554" s="296" t="s">
        <v>308</v>
      </c>
      <c r="I2554" s="252">
        <f>I910</f>
        <v>65420</v>
      </c>
      <c r="J2554" s="253" t="s">
        <v>869</v>
      </c>
      <c r="K2554" s="252">
        <f t="shared" ref="K2554:K2564" si="83">(F2554*I2554)</f>
        <v>1491.58</v>
      </c>
    </row>
    <row r="2555" spans="1:11" hidden="1">
      <c r="A2555" s="251"/>
      <c r="F2555" s="373">
        <v>3.5400000000000001E-2</v>
      </c>
      <c r="G2555" s="252" t="s">
        <v>869</v>
      </c>
      <c r="H2555" s="296" t="s">
        <v>309</v>
      </c>
      <c r="I2555" s="252">
        <f>I911</f>
        <v>57165</v>
      </c>
      <c r="J2555" s="253" t="s">
        <v>869</v>
      </c>
      <c r="K2555" s="252">
        <f t="shared" si="83"/>
        <v>2023.64</v>
      </c>
    </row>
    <row r="2556" spans="1:11" hidden="1">
      <c r="A2556" s="251"/>
      <c r="F2556" s="373">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39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373">
        <v>2.5000000000000001E-2</v>
      </c>
    </row>
    <row r="2577" spans="1:11" hidden="1">
      <c r="A2577" s="251"/>
      <c r="J2577" s="253" t="s">
        <v>975</v>
      </c>
      <c r="K2577" s="358" t="s">
        <v>1586</v>
      </c>
    </row>
    <row r="2578" spans="1:11" hidden="1">
      <c r="A2578" s="251"/>
      <c r="H2578" s="296" t="s">
        <v>3316</v>
      </c>
      <c r="J2578" s="392" t="s">
        <v>975</v>
      </c>
      <c r="K2578" s="373">
        <v>1.7850000000000001E-2</v>
      </c>
    </row>
    <row r="2579" spans="1:11" hidden="1">
      <c r="A2579" s="251"/>
      <c r="H2579" s="296" t="s">
        <v>3047</v>
      </c>
      <c r="J2579" s="253" t="s">
        <v>975</v>
      </c>
      <c r="K2579" s="373">
        <v>1.4500000000000001E-2</v>
      </c>
    </row>
    <row r="2580" spans="1:11" hidden="1">
      <c r="A2580" s="251"/>
      <c r="K2580" s="358" t="s">
        <v>1586</v>
      </c>
    </row>
    <row r="2581" spans="1:11" hidden="1">
      <c r="A2581" s="251"/>
      <c r="K2581" s="373">
        <v>2.23E-2</v>
      </c>
    </row>
    <row r="2582" spans="1:11" hidden="1">
      <c r="A2582" s="251"/>
      <c r="K2582" s="358" t="s">
        <v>1586</v>
      </c>
    </row>
    <row r="2583" spans="1:11" hidden="1">
      <c r="A2583" s="251"/>
    </row>
    <row r="2584" spans="1:11" hidden="1">
      <c r="A2584" s="251"/>
    </row>
    <row r="2585" spans="1:11" hidden="1">
      <c r="A2585" s="251"/>
      <c r="F2585" s="373">
        <v>2.2800000000000001E-2</v>
      </c>
      <c r="G2585" s="252" t="s">
        <v>869</v>
      </c>
      <c r="H2585" s="296" t="s">
        <v>308</v>
      </c>
      <c r="I2585" s="252">
        <f>I2554</f>
        <v>65420</v>
      </c>
      <c r="J2585" s="253" t="s">
        <v>869</v>
      </c>
      <c r="K2585" s="252">
        <f>(F2585*I2585)</f>
        <v>1491.58</v>
      </c>
    </row>
    <row r="2586" spans="1:11" hidden="1">
      <c r="A2586" s="251"/>
      <c r="F2586" s="373">
        <v>2.5000000000000001E-2</v>
      </c>
      <c r="G2586" s="252" t="s">
        <v>869</v>
      </c>
      <c r="H2586" s="296" t="s">
        <v>309</v>
      </c>
      <c r="I2586" s="252">
        <f>I2555</f>
        <v>57165</v>
      </c>
      <c r="J2586" s="253" t="s">
        <v>869</v>
      </c>
      <c r="K2586" s="252">
        <f>(F2586*I2586)</f>
        <v>1429.13</v>
      </c>
    </row>
    <row r="2587" spans="1:11" hidden="1">
      <c r="A2587" s="251"/>
      <c r="F2587" s="373">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662"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6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67" t="s">
        <v>3053</v>
      </c>
    </row>
    <row r="2620" spans="1:11" hidden="1">
      <c r="A2620" s="251"/>
      <c r="K2620" s="252" t="e">
        <f>SUM(K2613:K2619)</f>
        <v>#REF!</v>
      </c>
    </row>
    <row r="2621" spans="1:11" hidden="1">
      <c r="A2621" s="251"/>
      <c r="K2621" s="367" t="s">
        <v>32</v>
      </c>
    </row>
    <row r="2622" spans="1:11" hidden="1">
      <c r="A2622" s="251"/>
      <c r="H2622" s="38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6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663"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663"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663" t="s">
        <v>2055</v>
      </c>
    </row>
    <row r="2647" spans="1:11" hidden="1">
      <c r="A2647" s="251"/>
      <c r="F2647" s="366"/>
      <c r="H2647" s="296" t="s">
        <v>1999</v>
      </c>
    </row>
    <row r="2648" spans="1:11" hidden="1">
      <c r="A2648" s="251"/>
      <c r="H2648" s="358" t="s">
        <v>1586</v>
      </c>
      <c r="I2648" s="358" t="s">
        <v>1586</v>
      </c>
      <c r="J2648" s="253" t="s">
        <v>1586</v>
      </c>
    </row>
    <row r="2649" spans="1:11" hidden="1">
      <c r="A2649" s="251"/>
    </row>
    <row r="2650" spans="1:11" hidden="1">
      <c r="A2650" s="251"/>
      <c r="F2650" s="388">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373">
        <v>3.7699999999999997E-2</v>
      </c>
    </row>
    <row r="2657" spans="1:11" hidden="1">
      <c r="A2657" s="251"/>
      <c r="H2657" s="296" t="s">
        <v>695</v>
      </c>
      <c r="J2657" s="392" t="s">
        <v>975</v>
      </c>
      <c r="K2657" s="382" t="s">
        <v>975</v>
      </c>
    </row>
    <row r="2658" spans="1:11" hidden="1">
      <c r="A2658" s="251"/>
      <c r="H2658" s="296" t="s">
        <v>1830</v>
      </c>
      <c r="K2658" s="382" t="s">
        <v>975</v>
      </c>
    </row>
    <row r="2659" spans="1:11" hidden="1">
      <c r="A2659" s="251"/>
      <c r="H2659" s="296"/>
      <c r="K2659" s="382"/>
    </row>
    <row r="2660" spans="1:11" hidden="1">
      <c r="A2660" s="251"/>
      <c r="H2660" s="296"/>
      <c r="K2660" s="382"/>
    </row>
    <row r="2661" spans="1:11" hidden="1">
      <c r="A2661" s="251"/>
    </row>
    <row r="2662" spans="1:11" hidden="1">
      <c r="A2662" s="251"/>
      <c r="F2662" s="383">
        <v>1.18E-2</v>
      </c>
      <c r="G2662" s="252" t="s">
        <v>869</v>
      </c>
      <c r="H2662" s="296" t="s">
        <v>692</v>
      </c>
      <c r="I2662" s="252">
        <f t="shared" ref="I2662:I2671" si="88">I2260</f>
        <v>65420</v>
      </c>
      <c r="J2662" s="253" t="s">
        <v>869</v>
      </c>
      <c r="K2662" s="252">
        <f t="shared" ref="K2662:K2671" si="89">(F2662*I2662)</f>
        <v>771.96</v>
      </c>
    </row>
    <row r="2663" spans="1:11" hidden="1">
      <c r="A2663" s="251"/>
      <c r="F2663" s="383">
        <v>3.7699999999999997E-2</v>
      </c>
      <c r="G2663" s="252" t="s">
        <v>869</v>
      </c>
      <c r="H2663" s="296" t="s">
        <v>693</v>
      </c>
      <c r="I2663" s="252">
        <f t="shared" si="88"/>
        <v>57165</v>
      </c>
      <c r="J2663" s="253" t="s">
        <v>869</v>
      </c>
      <c r="K2663" s="252">
        <f t="shared" si="89"/>
        <v>2155.12</v>
      </c>
    </row>
    <row r="2664" spans="1:11" hidden="1">
      <c r="A2664" s="251"/>
      <c r="F2664" s="383">
        <v>1.8550000000000001E-2</v>
      </c>
      <c r="G2664" s="252" t="s">
        <v>869</v>
      </c>
      <c r="H2664" s="296" t="s">
        <v>886</v>
      </c>
      <c r="I2664" s="252">
        <f t="shared" si="88"/>
        <v>3035</v>
      </c>
      <c r="J2664" s="253" t="s">
        <v>869</v>
      </c>
      <c r="K2664" s="252">
        <f t="shared" si="89"/>
        <v>56.3</v>
      </c>
    </row>
    <row r="2665" spans="1:11" hidden="1">
      <c r="A2665" s="251"/>
      <c r="F2665" s="383">
        <v>1.36</v>
      </c>
      <c r="G2665" s="252" t="s">
        <v>609</v>
      </c>
      <c r="H2665" s="296" t="s">
        <v>887</v>
      </c>
      <c r="I2665" s="252">
        <f t="shared" si="88"/>
        <v>385.89</v>
      </c>
      <c r="J2665" s="253" t="s">
        <v>609</v>
      </c>
      <c r="K2665" s="252">
        <f t="shared" si="89"/>
        <v>524.80999999999995</v>
      </c>
    </row>
    <row r="2666" spans="1:11" hidden="1">
      <c r="A2666" s="251"/>
      <c r="F2666" s="383">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663"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663"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663"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664">
        <v>71.3</v>
      </c>
      <c r="G2698" s="360"/>
      <c r="H2698" s="665" t="s">
        <v>3352</v>
      </c>
      <c r="I2698" s="360"/>
      <c r="J2698" s="378"/>
      <c r="K2698" s="360"/>
    </row>
    <row r="2699" spans="1:11" hidden="1">
      <c r="A2699" s="251"/>
      <c r="F2699" s="360"/>
      <c r="G2699" s="360"/>
      <c r="H2699" s="666" t="s">
        <v>2380</v>
      </c>
      <c r="I2699" s="360"/>
      <c r="J2699" s="378"/>
      <c r="K2699" s="360"/>
    </row>
    <row r="2700" spans="1:11" hidden="1">
      <c r="A2700" s="251"/>
      <c r="F2700" s="360">
        <v>1</v>
      </c>
      <c r="G2700" s="360" t="s">
        <v>1394</v>
      </c>
      <c r="H2700" s="360" t="s">
        <v>3060</v>
      </c>
      <c r="I2700" s="360"/>
      <c r="J2700" s="378">
        <v>1880</v>
      </c>
      <c r="K2700" s="360">
        <f>J2700*F2700</f>
        <v>1880</v>
      </c>
    </row>
    <row r="2701" spans="1:11" hidden="1">
      <c r="A2701" s="251"/>
      <c r="F2701" s="360">
        <v>1</v>
      </c>
      <c r="G2701" s="360" t="s">
        <v>1394</v>
      </c>
      <c r="H2701" s="360" t="s">
        <v>3061</v>
      </c>
      <c r="I2701" s="360"/>
      <c r="J2701" s="378">
        <v>480</v>
      </c>
      <c r="K2701" s="360">
        <f>J2701*F2701</f>
        <v>480</v>
      </c>
    </row>
    <row r="2702" spans="1:11" hidden="1">
      <c r="A2702" s="251"/>
      <c r="F2702" s="360"/>
      <c r="G2702" s="360"/>
      <c r="H2702" s="360" t="s">
        <v>3062</v>
      </c>
      <c r="I2702" s="360"/>
      <c r="J2702" s="378"/>
      <c r="K2702" s="360">
        <v>35.67</v>
      </c>
    </row>
    <row r="2703" spans="1:11" hidden="1">
      <c r="A2703" s="251"/>
      <c r="F2703" s="360"/>
      <c r="G2703" s="360"/>
      <c r="H2703" s="360" t="s">
        <v>1822</v>
      </c>
      <c r="I2703" s="360"/>
      <c r="J2703" s="378"/>
      <c r="K2703" s="360">
        <f>K2711</f>
        <v>104.33</v>
      </c>
    </row>
    <row r="2704" spans="1:11" hidden="1">
      <c r="A2704" s="251"/>
      <c r="F2704" s="360"/>
      <c r="G2704" s="360"/>
      <c r="H2704" s="360"/>
      <c r="I2704" s="360"/>
      <c r="J2704" s="378"/>
      <c r="K2704" s="667" t="s">
        <v>3053</v>
      </c>
    </row>
    <row r="2705" spans="1:11" hidden="1">
      <c r="A2705" s="251"/>
      <c r="F2705" s="360"/>
      <c r="G2705" s="360"/>
      <c r="H2705" s="360"/>
      <c r="I2705" s="360"/>
      <c r="J2705" s="378"/>
      <c r="K2705" s="360">
        <f>SUM(K2700:K2704)</f>
        <v>2500</v>
      </c>
    </row>
    <row r="2706" spans="1:11" hidden="1">
      <c r="A2706" s="251"/>
      <c r="F2706" s="360"/>
      <c r="G2706" s="360"/>
      <c r="H2706" s="360" t="s">
        <v>915</v>
      </c>
      <c r="I2706" s="360"/>
      <c r="J2706" s="378"/>
      <c r="K2706" s="667" t="s">
        <v>32</v>
      </c>
    </row>
    <row r="2707" spans="1:11" hidden="1">
      <c r="A2707" s="251"/>
      <c r="F2707" s="360">
        <v>1</v>
      </c>
      <c r="G2707" s="360" t="s">
        <v>1394</v>
      </c>
      <c r="H2707" s="360" t="s">
        <v>3063</v>
      </c>
      <c r="I2707" s="360">
        <v>131</v>
      </c>
      <c r="J2707" s="378" t="s">
        <v>1398</v>
      </c>
      <c r="K2707" s="360">
        <f>I2707*F2707</f>
        <v>131</v>
      </c>
    </row>
    <row r="2708" spans="1:11" hidden="1">
      <c r="A2708" s="251"/>
      <c r="F2708" s="360">
        <v>2</v>
      </c>
      <c r="G2708" s="360" t="s">
        <v>1432</v>
      </c>
      <c r="H2708" s="360" t="s">
        <v>3064</v>
      </c>
      <c r="I2708" s="360">
        <v>91</v>
      </c>
      <c r="J2708" s="378" t="s">
        <v>1398</v>
      </c>
      <c r="K2708" s="360">
        <f>I2708*F2708</f>
        <v>182</v>
      </c>
    </row>
    <row r="2709" spans="1:11" hidden="1">
      <c r="A2709" s="251"/>
      <c r="F2709" s="360"/>
      <c r="G2709" s="360"/>
      <c r="H2709" s="360"/>
      <c r="I2709" s="360"/>
      <c r="J2709" s="378"/>
      <c r="K2709" s="667" t="s">
        <v>3065</v>
      </c>
    </row>
    <row r="2710" spans="1:11" hidden="1">
      <c r="A2710" s="251"/>
      <c r="F2710" s="360"/>
      <c r="G2710" s="360"/>
      <c r="H2710" s="360" t="s">
        <v>3066</v>
      </c>
      <c r="I2710" s="360"/>
      <c r="J2710" s="378"/>
      <c r="K2710" s="360">
        <f>SUM(K2707:K2709)</f>
        <v>313</v>
      </c>
    </row>
    <row r="2711" spans="1:11" hidden="1">
      <c r="A2711" s="251"/>
      <c r="F2711" s="360"/>
      <c r="G2711" s="360"/>
      <c r="H2711" s="360" t="s">
        <v>3067</v>
      </c>
      <c r="I2711" s="360"/>
      <c r="J2711" s="378"/>
      <c r="K2711" s="360">
        <f>K2710/3</f>
        <v>104.33</v>
      </c>
    </row>
    <row r="2712" spans="1:11" hidden="1">
      <c r="A2712" s="251"/>
    </row>
    <row r="2713" spans="1:11" ht="15.75" hidden="1" customHeight="1">
      <c r="A2713" s="251"/>
      <c r="F2713" s="668">
        <v>79.400000000000006</v>
      </c>
      <c r="H2713" s="982" t="s">
        <v>2716</v>
      </c>
      <c r="I2713" s="982"/>
    </row>
    <row r="2714" spans="1:11" hidden="1">
      <c r="A2714" s="251"/>
      <c r="F2714" s="259"/>
      <c r="H2714" s="260"/>
      <c r="I2714" s="260"/>
    </row>
    <row r="2715" spans="1:11" hidden="1">
      <c r="A2715" s="251"/>
      <c r="F2715" s="252">
        <v>3</v>
      </c>
      <c r="G2715" s="252" t="s">
        <v>1432</v>
      </c>
      <c r="H2715" s="252" t="s">
        <v>2717</v>
      </c>
      <c r="I2715" s="363">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67" t="s">
        <v>429</v>
      </c>
    </row>
    <row r="2720" spans="1:11" hidden="1">
      <c r="A2720" s="251"/>
      <c r="K2720" s="252">
        <f>SUM(K2715:K2719)</f>
        <v>875</v>
      </c>
    </row>
    <row r="2721" spans="1:11" hidden="1">
      <c r="A2721" s="251"/>
      <c r="K2721" s="36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6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669">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669">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669">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388">
        <v>53.4</v>
      </c>
      <c r="H2766" s="296" t="s">
        <v>2890</v>
      </c>
      <c r="J2766" s="253" t="s">
        <v>1398</v>
      </c>
      <c r="K2766" s="252">
        <v>957</v>
      </c>
    </row>
    <row r="2767" spans="1:11" hidden="1">
      <c r="A2767" s="251"/>
    </row>
    <row r="2768" spans="1:11" ht="31.5" hidden="1">
      <c r="A2768" s="251"/>
      <c r="F2768" s="670">
        <v>383</v>
      </c>
      <c r="H2768" s="268" t="s">
        <v>3442</v>
      </c>
      <c r="J2768" s="253" t="s">
        <v>1398</v>
      </c>
      <c r="K2768" s="252">
        <v>600</v>
      </c>
    </row>
    <row r="2769" spans="1:11" hidden="1">
      <c r="A2769" s="251"/>
    </row>
    <row r="2770" spans="1:11" hidden="1">
      <c r="A2770" s="251"/>
    </row>
    <row r="2771" spans="1:11" hidden="1">
      <c r="A2771" s="251"/>
      <c r="F2771" s="671">
        <v>344.2</v>
      </c>
      <c r="H2771" s="268" t="s">
        <v>2409</v>
      </c>
      <c r="J2771" s="253" t="s">
        <v>1398</v>
      </c>
      <c r="K2771" s="252">
        <v>300</v>
      </c>
    </row>
    <row r="2772" spans="1:11" hidden="1">
      <c r="A2772" s="251"/>
      <c r="F2772" s="670"/>
    </row>
    <row r="2773" spans="1:11" hidden="1">
      <c r="A2773" s="251"/>
      <c r="F2773" s="670"/>
    </row>
    <row r="2774" spans="1:11" hidden="1">
      <c r="A2774" s="251"/>
      <c r="F2774" s="670"/>
    </row>
    <row r="2775" spans="1:11" hidden="1">
      <c r="A2775" s="251"/>
      <c r="F2775" s="671">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672">
        <v>385</v>
      </c>
      <c r="H2781" s="252" t="s">
        <v>2800</v>
      </c>
    </row>
    <row r="2782" spans="1:11" hidden="1">
      <c r="A2782" s="251"/>
      <c r="H2782" s="36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67" t="s">
        <v>3307</v>
      </c>
    </row>
    <row r="2792" spans="1:11" hidden="1">
      <c r="A2792" s="251"/>
      <c r="H2792" s="252" t="s">
        <v>3089</v>
      </c>
      <c r="K2792" s="252">
        <f>SUM(K2783:K2791)</f>
        <v>705</v>
      </c>
    </row>
    <row r="2793" spans="1:11" hidden="1">
      <c r="A2793" s="251"/>
      <c r="K2793" s="367" t="s">
        <v>3053</v>
      </c>
    </row>
    <row r="2794" spans="1:11" hidden="1">
      <c r="A2794" s="251"/>
      <c r="H2794" s="252" t="s">
        <v>2780</v>
      </c>
      <c r="K2794" s="252">
        <f>K2792/2</f>
        <v>352.5</v>
      </c>
    </row>
    <row r="2795" spans="1:11" hidden="1">
      <c r="A2795" s="251"/>
      <c r="K2795" s="367" t="s">
        <v>32</v>
      </c>
    </row>
    <row r="2796" spans="1:11" ht="18" hidden="1">
      <c r="A2796" s="251"/>
      <c r="F2796" s="661">
        <v>112.1</v>
      </c>
      <c r="H2796" s="390" t="s">
        <v>2460</v>
      </c>
    </row>
    <row r="2797" spans="1:11" hidden="1">
      <c r="A2797" s="251"/>
      <c r="H2797" s="367" t="s">
        <v>2461</v>
      </c>
    </row>
    <row r="2798" spans="1:11" hidden="1">
      <c r="A2798" s="251"/>
      <c r="F2798" s="252">
        <v>1</v>
      </c>
      <c r="G2798" s="252" t="s">
        <v>1394</v>
      </c>
      <c r="H2798" s="268" t="s">
        <v>2460</v>
      </c>
      <c r="I2798" s="365">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67" t="s">
        <v>2328</v>
      </c>
    </row>
    <row r="2804" spans="1:11" hidden="1">
      <c r="A2804" s="251"/>
      <c r="K2804" s="252">
        <f>SUM(K2798:K2803)</f>
        <v>1259</v>
      </c>
    </row>
    <row r="2805" spans="1:11" hidden="1">
      <c r="A2805" s="251"/>
      <c r="K2805" s="36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6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375"/>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65">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6052</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673">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673">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6053</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6054</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6055</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6056</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4272</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4273</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975" t="s">
        <v>3619</v>
      </c>
      <c r="P3111" s="975"/>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674" t="s">
        <v>3798</v>
      </c>
      <c r="P3112" s="264">
        <f>P3071</f>
        <v>53.75</v>
      </c>
      <c r="Q3112" s="261" t="s">
        <v>2539</v>
      </c>
      <c r="R3112" s="261">
        <f>M3112*P3112</f>
        <v>19350</v>
      </c>
      <c r="S3112" s="261"/>
    </row>
    <row r="3113" spans="5:19" ht="36" customHeight="1">
      <c r="E3113" s="261"/>
      <c r="F3113" s="261">
        <v>90</v>
      </c>
      <c r="G3113" s="261"/>
      <c r="H3113" s="260" t="s">
        <v>4280</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674"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4274</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4275</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6058</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4276</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4277</v>
      </c>
      <c r="I3230" s="263">
        <v>2925</v>
      </c>
      <c r="J3230" s="261" t="s">
        <v>1394</v>
      </c>
      <c r="K3230" s="261">
        <f>F3230*I3230</f>
        <v>2925</v>
      </c>
      <c r="L3230" s="261"/>
      <c r="M3230" s="261"/>
    </row>
    <row r="3231" spans="5:14" ht="30" customHeight="1">
      <c r="E3231" s="261"/>
      <c r="F3231" s="261">
        <v>1</v>
      </c>
      <c r="G3231" s="261" t="s">
        <v>1394</v>
      </c>
      <c r="H3231" s="261" t="s">
        <v>4278</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4279</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4282</v>
      </c>
      <c r="I3289" s="263">
        <v>79.7</v>
      </c>
      <c r="J3289" s="261" t="s">
        <v>1645</v>
      </c>
      <c r="K3289" s="261">
        <f>F3289*I3289</f>
        <v>757.15</v>
      </c>
      <c r="L3289" s="261"/>
      <c r="M3289" s="261"/>
    </row>
    <row r="3290" spans="5:13">
      <c r="E3290" s="261"/>
      <c r="F3290" s="261">
        <v>0.5</v>
      </c>
      <c r="G3290" s="261" t="s">
        <v>1645</v>
      </c>
      <c r="H3290" s="261" t="s">
        <v>4031</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6343</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675">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675">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6344</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4283</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6061</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4287</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4288</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6062</v>
      </c>
      <c r="I3560" s="261"/>
      <c r="J3560" s="261"/>
      <c r="K3560" s="261"/>
      <c r="L3560" s="261"/>
      <c r="M3560" s="261"/>
    </row>
    <row r="3561" spans="5:15" ht="15.75" customHeight="1">
      <c r="E3561" s="261"/>
      <c r="F3561" s="261">
        <v>30.42</v>
      </c>
      <c r="G3561" s="261" t="s">
        <v>2151</v>
      </c>
      <c r="H3561" s="261" t="s">
        <v>4289</v>
      </c>
      <c r="I3561" s="298">
        <v>134.6</v>
      </c>
      <c r="J3561" s="261" t="s">
        <v>2151</v>
      </c>
      <c r="K3561" s="261">
        <f>F3561*I3561</f>
        <v>4094.53</v>
      </c>
      <c r="L3561" s="261"/>
      <c r="M3561" s="261"/>
      <c r="O3561" s="252">
        <f>M3561+N3561</f>
        <v>0</v>
      </c>
    </row>
    <row r="3562" spans="5:15" ht="15.75" customHeight="1">
      <c r="E3562" s="261"/>
      <c r="F3562" s="261">
        <v>6.1</v>
      </c>
      <c r="G3562" s="261" t="s">
        <v>2151</v>
      </c>
      <c r="H3562" s="296" t="s">
        <v>4252</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4291</v>
      </c>
      <c r="I3603" s="263">
        <v>2970</v>
      </c>
      <c r="J3603" s="263">
        <v>2970</v>
      </c>
      <c r="K3603" s="263">
        <v>2850</v>
      </c>
      <c r="L3603" s="263">
        <v>2890</v>
      </c>
      <c r="M3603" s="261"/>
    </row>
    <row r="3604" spans="5:18" ht="22.5" customHeight="1">
      <c r="E3604" s="261"/>
      <c r="F3604" s="261"/>
      <c r="G3604" s="261"/>
      <c r="H3604" s="261" t="s">
        <v>4290</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976" t="s">
        <v>3704</v>
      </c>
      <c r="N3610" s="976"/>
      <c r="O3610" s="976"/>
      <c r="P3610" s="976"/>
      <c r="Q3610" s="976"/>
      <c r="R3610" s="976"/>
    </row>
    <row r="3611" spans="5:18" ht="15.75" customHeight="1">
      <c r="E3611" s="261"/>
      <c r="F3611" s="261"/>
      <c r="G3611" s="261"/>
      <c r="H3611" s="261"/>
      <c r="I3611" s="261"/>
      <c r="J3611" s="261"/>
      <c r="K3611" s="261"/>
      <c r="L3611" s="261"/>
      <c r="M3611" s="977" t="s">
        <v>3705</v>
      </c>
      <c r="N3611" s="977"/>
      <c r="O3611" s="977"/>
      <c r="P3611" s="977"/>
      <c r="Q3611" s="977"/>
      <c r="R3611" s="977"/>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978" t="s">
        <v>657</v>
      </c>
      <c r="Q3619" s="978"/>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673">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673">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6063</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4295</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4296</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6345</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4297</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676">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6054</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6052</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677">
        <v>1</v>
      </c>
      <c r="G3908" s="677" t="s">
        <v>1394</v>
      </c>
      <c r="H3908" s="272" t="s">
        <v>3855</v>
      </c>
      <c r="I3908" s="677">
        <f>I2955</f>
        <v>58</v>
      </c>
      <c r="J3908" s="677" t="s">
        <v>1394</v>
      </c>
      <c r="K3908" s="677">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678">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view="pageBreakPreview" zoomScaleNormal="70" zoomScaleSheetLayoutView="100" workbookViewId="0">
      <pane ySplit="1" topLeftCell="A3" activePane="bottomLeft" state="frozen"/>
      <selection pane="bottomLeft" activeCell="D10" sqref="D10"/>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8</v>
      </c>
      <c r="E10" s="350">
        <f>IF(D10&lt;11,D10*$D$3,IF(D10&lt;21,($E$3+(D10-10)*$D$4),IF(D10&lt;41,$E$4+(D10-20)*$D$5,IF(D10&lt;81,($E$5+(D10-40)*$D$6),$E$6+(D10-80)*$D$7))))</f>
        <v>93.2</v>
      </c>
      <c r="G10" s="345">
        <v>14</v>
      </c>
      <c r="H10" s="345">
        <f>IF(G10&lt;11,G10*$G$3,IF(G10&lt;21,($H$3+(G10-10)*$G$4),IF(G10&lt;41,$H$4+(G10-20)*$G$5,IF(G10&lt;81,($H$5+(G10-40)*$G$6),$H$6+(G10-80)*$G$7))))</f>
        <v>131.84</v>
      </c>
      <c r="L10" s="354" t="s">
        <v>1170</v>
      </c>
      <c r="N10" s="345">
        <f>IF(M10&lt;11,M10*$M$3,IF(M10&lt;21,($N$3+(M10-10)*$M$4),IF(M10&lt;41,$N$4+(M10-20)*$M$5,IF(M10&lt;81,($N$5+(M10-40)*$M$6),$N$6+(M10-80)*$M$7))))</f>
        <v>0</v>
      </c>
      <c r="P10" s="345">
        <v>14</v>
      </c>
      <c r="Q10" s="345">
        <f>IF(P10&lt;11,P10*$P$3,IF(P10&lt;21,($Q$3+(P10-10)*$P$4),IF(P10&lt;41,$Q$4+(P10-20)*$P$5,IF(P10&lt;81,($Q$5+(P10-40)*$P$6),$Q$6+(P10-80)*$P$7))))</f>
        <v>107.26</v>
      </c>
      <c r="R10" s="345" t="s">
        <v>1159</v>
      </c>
    </row>
    <row r="11" spans="1:22">
      <c r="B11" s="345" t="s">
        <v>1065</v>
      </c>
      <c r="D11" s="345">
        <v>84</v>
      </c>
      <c r="E11" s="350">
        <f>IF(D11&lt;11,D11*$D$3,(IF(D11&lt;21,($E$3+(D11-10)*$D$4),(IF(D11&lt;41,$E$4+(D11-20)*$D$5,IF(D11&lt;81,($E$5+(D11-40)*$D$6),$E$6+(D11-80)*$D$7))))))</f>
        <v>736.06</v>
      </c>
      <c r="H11" s="345">
        <f>IF(G11&lt;11,G11*$G$3,IF(G11&lt;21,($H$3+(G11-10)*$G$4),IF(G11&lt;41,$H$4+(G11-20)*$G$5,IF(G11&lt;81,($H$5+(G11-40)*$G$6),$H$6+(G11-80)*$G$7))))</f>
        <v>0</v>
      </c>
      <c r="J11" s="345">
        <v>0</v>
      </c>
      <c r="K11" s="345">
        <f>IF(J11&lt;11,J11*$J$3,IF(J11&lt;21,($K$3+(J11-10)*$J$4),IF(J11&lt;41,$K$4+(J11-20)*$J$5,IF(J11&lt;81,($K$5+(J11-40)*$J$6),$K$6+(J11-80)*$J$7))))/2</f>
        <v>0</v>
      </c>
      <c r="L11" s="355" t="s">
        <v>298</v>
      </c>
      <c r="P11" s="345">
        <v>16</v>
      </c>
      <c r="Q11" s="345">
        <f>IF(P11&lt;11,P11*$P$3,IF(P11&lt;21,($Q$3+(P11-10)*$P$4),IF(P11&lt;41,$Q$4+(P11-20)*$P$5,IF(P11&lt;81,($Q$5+(P11-40)*$P$6),$Q$6+(P11-80)*$P$7))))</f>
        <v>120.94</v>
      </c>
      <c r="R11" s="345" t="s">
        <v>1160</v>
      </c>
      <c r="T11" s="345" t="s">
        <v>3532</v>
      </c>
    </row>
    <row r="12" spans="1:22" ht="21" customHeight="1">
      <c r="B12" s="354" t="s">
        <v>778</v>
      </c>
      <c r="C12" s="354"/>
      <c r="D12" s="345">
        <v>8</v>
      </c>
      <c r="E12" s="345">
        <f>IF(D12&lt;11,D12*$D$3,(IF(D12&lt;21,($E$3+(D12-10)*$D$4),(IF(D12&lt;41,$E$4+(D12-20)*$D$5,IF(D12&lt;81,($E$5+(D12-40)*$D$6),$E$6+(D12-80)*$D$7))))))</f>
        <v>93.2</v>
      </c>
      <c r="J12" s="345">
        <v>16</v>
      </c>
      <c r="K12" s="345">
        <f>IF(J12&lt;11,J12*$J$3,IF(J12&lt;21,($K$3+(J12-10)*$J$4),IF(J12&lt;41,$K$4+(J12-20)*$J$5,IF(J12&lt;81,($K$5+(J12-40)*$J$6),$K$6+(J12-80)*$J$7))))/2</f>
        <v>99.16</v>
      </c>
      <c r="L12" s="345" t="s">
        <v>6399</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3</v>
      </c>
      <c r="E13" s="350">
        <f>IF(D13&lt;11,D13*$D$3,(IF(D13&lt;21,($E$3+(D13-10)*$D$4),(IF(D13&lt;41,$E$4+(D13-20)*$D$5,IF(D13&lt;81,($E$5+(D13-40)*$D$6),$E$6+(D13-80)*$D$7))))))</f>
        <v>34.950000000000003</v>
      </c>
      <c r="P13" s="345">
        <v>8</v>
      </c>
      <c r="Q13" s="345">
        <f>IF(P13&lt;11,P13*$P$3,IF(P13&lt;21,($Q$3+(P13-10)*$P$4),IF(P13&lt;41,$Q$4+(P13-20)*$P$5,IF(P13&lt;81,($Q$5+(P13-40)*$P$6),$Q$6+(P13-80)*$P$7))))</f>
        <v>63.92</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3</v>
      </c>
      <c r="E16" s="350">
        <f t="shared" ref="E16" si="0">IF(D16&lt;11,D16*$D$3,(IF(D16&lt;21,($E$3+(D16-10)*$D$4),(IF(D16&lt;41,$E$4+(D16-20)*$D$5,IF(D16&lt;81,($E$5+(D16-40)*$D$6),$E$6+(D16-80)*$D$7))))))</f>
        <v>34.950000000000003</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F228" transitionEvaluation="1"/>
  <dimension ref="A1:DZ5475"/>
  <sheetViews>
    <sheetView view="pageBreakPreview" topLeftCell="F228" zoomScaleNormal="60" zoomScaleSheetLayoutView="100" workbookViewId="0">
      <selection activeCell="F237" sqref="F237:K250"/>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4607</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6052</v>
      </c>
      <c r="P11" s="261"/>
      <c r="Q11" s="261"/>
      <c r="R11" s="261"/>
    </row>
    <row r="12" spans="1:18" ht="31.5">
      <c r="A12" s="251"/>
      <c r="F12" s="261">
        <v>90</v>
      </c>
      <c r="G12" s="261" t="s">
        <v>826</v>
      </c>
      <c r="H12" s="262" t="s">
        <v>5369</v>
      </c>
      <c r="I12" s="263">
        <v>16.55</v>
      </c>
      <c r="J12" s="261" t="s">
        <v>2539</v>
      </c>
      <c r="K12" s="261">
        <f>F12*I12</f>
        <v>1489.5</v>
      </c>
      <c r="M12" s="261"/>
      <c r="N12" s="261"/>
      <c r="O12" s="258"/>
      <c r="P12" s="261"/>
      <c r="Q12" s="261"/>
      <c r="R12" s="261"/>
    </row>
    <row r="13" spans="1:18" ht="31.5">
      <c r="A13" s="251"/>
      <c r="E13" s="261"/>
      <c r="F13" s="261">
        <v>45</v>
      </c>
      <c r="G13" s="261" t="s">
        <v>826</v>
      </c>
      <c r="H13" s="260" t="s">
        <v>5370</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5371</v>
      </c>
      <c r="I14" s="263">
        <v>3.15</v>
      </c>
      <c r="J14" s="261" t="s">
        <v>1394</v>
      </c>
      <c r="K14" s="261">
        <f t="shared" si="0"/>
        <v>63</v>
      </c>
      <c r="L14" s="261"/>
      <c r="M14" s="261"/>
      <c r="N14" s="261"/>
      <c r="O14" s="261"/>
      <c r="P14" s="261"/>
      <c r="Q14" s="261"/>
      <c r="R14" s="261"/>
    </row>
    <row r="15" spans="1:18" ht="31.5">
      <c r="A15" s="251"/>
      <c r="E15" s="261"/>
      <c r="F15" s="261">
        <v>10</v>
      </c>
      <c r="G15" s="261" t="s">
        <v>1394</v>
      </c>
      <c r="H15" s="261" t="s">
        <v>5906</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5372</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5373</v>
      </c>
      <c r="P17" s="264">
        <v>3.6</v>
      </c>
      <c r="Q17" s="261" t="s">
        <v>3378</v>
      </c>
      <c r="R17" s="261">
        <f>M17*P17/12</f>
        <v>22.5</v>
      </c>
    </row>
    <row r="18" spans="1:20">
      <c r="A18" s="251"/>
      <c r="E18" s="261"/>
      <c r="F18" s="265">
        <v>1.4999999999999999E-2</v>
      </c>
      <c r="G18" s="261" t="s">
        <v>2283</v>
      </c>
      <c r="H18" s="261" t="s">
        <v>5907</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5908</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5374</v>
      </c>
      <c r="I20" s="263">
        <v>13.8</v>
      </c>
      <c r="J20" s="261" t="s">
        <v>1394</v>
      </c>
      <c r="K20" s="261">
        <f t="shared" si="0"/>
        <v>138</v>
      </c>
      <c r="L20" s="261"/>
      <c r="M20" s="261">
        <v>150</v>
      </c>
      <c r="N20" s="261" t="s">
        <v>1432</v>
      </c>
      <c r="O20" s="261" t="s">
        <v>4665</v>
      </c>
      <c r="P20" s="261">
        <f>I749</f>
        <v>287</v>
      </c>
      <c r="Q20" s="261">
        <v>1000</v>
      </c>
      <c r="R20" s="261">
        <f>(M20*P20)/1000</f>
        <v>43.05</v>
      </c>
    </row>
    <row r="21" spans="1:20">
      <c r="A21" s="251"/>
      <c r="E21" s="261"/>
      <c r="F21" s="261">
        <v>10</v>
      </c>
      <c r="G21" s="261" t="s">
        <v>1394</v>
      </c>
      <c r="H21" s="261" t="s">
        <v>5909</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Data!C68/20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4609</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4610</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4608</v>
      </c>
      <c r="I25" s="261">
        <f>I12</f>
        <v>16.55</v>
      </c>
      <c r="J25" s="261" t="s">
        <v>3290</v>
      </c>
      <c r="K25" s="261">
        <f t="shared" si="0"/>
        <v>744.75</v>
      </c>
      <c r="L25" s="261"/>
      <c r="M25" s="261">
        <v>6</v>
      </c>
      <c r="N25" s="261" t="s">
        <v>1432</v>
      </c>
      <c r="O25" s="260" t="s">
        <v>4667</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5910</v>
      </c>
      <c r="I35" s="264">
        <v>947</v>
      </c>
      <c r="J35" s="261" t="s">
        <v>1394</v>
      </c>
      <c r="K35" s="261">
        <f>F35*I35</f>
        <v>947</v>
      </c>
      <c r="L35" s="261"/>
      <c r="M35" s="261"/>
      <c r="N35" s="272" t="s">
        <v>3297</v>
      </c>
      <c r="O35" s="261"/>
      <c r="P35" s="261"/>
      <c r="Q35" s="261"/>
    </row>
    <row r="36" spans="1:19">
      <c r="A36" s="251"/>
      <c r="E36" s="261"/>
      <c r="F36" s="261">
        <v>2</v>
      </c>
      <c r="G36" s="261" t="s">
        <v>1394</v>
      </c>
      <c r="H36" s="261" t="s">
        <v>5911</v>
      </c>
      <c r="I36" s="264">
        <v>826</v>
      </c>
      <c r="J36" s="261" t="s">
        <v>1394</v>
      </c>
      <c r="K36" s="261">
        <f t="shared" ref="K36:K41" si="2">F36*I36</f>
        <v>1652</v>
      </c>
      <c r="L36" s="261"/>
      <c r="M36" s="261"/>
      <c r="N36" s="261"/>
      <c r="O36" s="261"/>
      <c r="P36" s="261"/>
      <c r="Q36" s="261"/>
    </row>
    <row r="37" spans="1:19">
      <c r="A37" s="251"/>
      <c r="E37" s="261"/>
      <c r="F37" s="261">
        <v>3</v>
      </c>
      <c r="G37" s="261" t="s">
        <v>1394</v>
      </c>
      <c r="H37" s="261" t="s">
        <v>5912</v>
      </c>
      <c r="I37" s="264">
        <v>820</v>
      </c>
      <c r="J37" s="261" t="s">
        <v>1394</v>
      </c>
      <c r="K37" s="261">
        <f t="shared" si="2"/>
        <v>2460</v>
      </c>
      <c r="L37" s="261"/>
      <c r="M37" s="261"/>
      <c r="N37" s="272" t="s">
        <v>3373</v>
      </c>
      <c r="O37" s="261"/>
      <c r="P37" s="261"/>
      <c r="Q37" s="261"/>
    </row>
    <row r="38" spans="1:19">
      <c r="A38" s="251"/>
      <c r="E38" s="261"/>
      <c r="F38" s="261">
        <v>4</v>
      </c>
      <c r="G38" s="261" t="s">
        <v>1394</v>
      </c>
      <c r="H38" s="261" t="s">
        <v>5913</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6053</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6054</v>
      </c>
      <c r="R44" s="272">
        <f>SUM(R39:R42)</f>
        <v>7635</v>
      </c>
    </row>
    <row r="45" spans="1:19">
      <c r="A45" s="251"/>
      <c r="E45" s="261"/>
      <c r="F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5914</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4666</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5915</v>
      </c>
      <c r="I63" s="261"/>
      <c r="J63" s="261"/>
      <c r="K63" s="263">
        <f>10*41.7</f>
        <v>417</v>
      </c>
      <c r="L63" s="261"/>
      <c r="M63" s="261"/>
      <c r="N63" s="261"/>
      <c r="P63" s="261"/>
      <c r="Q63" s="261"/>
      <c r="R63" s="261"/>
    </row>
    <row r="64" spans="1:20">
      <c r="A64" s="251"/>
      <c r="E64" s="261"/>
      <c r="F64" s="261"/>
      <c r="G64" s="261"/>
      <c r="H64" s="266" t="s">
        <v>5916</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5375</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5376</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6055</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5377</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5917</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6056</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5378</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6057</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L237" s="261"/>
      <c r="M237" s="261"/>
      <c r="N237" s="261"/>
      <c r="O237" s="272" t="s">
        <v>3626</v>
      </c>
      <c r="P237" s="261"/>
      <c r="Q237" s="261"/>
      <c r="R237" s="261"/>
      <c r="AA237" s="261"/>
      <c r="AB237" s="261"/>
      <c r="AC237" s="261"/>
      <c r="AD237" s="272" t="s">
        <v>5918</v>
      </c>
      <c r="AE237" s="261"/>
      <c r="AF237" s="261"/>
      <c r="AG237" s="261"/>
    </row>
    <row r="238" spans="5:33">
      <c r="E238" s="261"/>
      <c r="L238" s="261"/>
      <c r="M238" s="261"/>
      <c r="N238" s="261"/>
      <c r="O238" s="261"/>
      <c r="P238" s="261"/>
      <c r="Q238" s="261"/>
      <c r="R238" s="261"/>
      <c r="AA238" s="261"/>
      <c r="AB238" s="261"/>
      <c r="AC238" s="261"/>
      <c r="AD238" s="261"/>
      <c r="AE238" s="261"/>
      <c r="AF238" s="261"/>
      <c r="AG238" s="261"/>
    </row>
    <row r="239" spans="5:33" ht="123.75" customHeight="1">
      <c r="E239" s="261"/>
      <c r="L239" s="261"/>
      <c r="M239" s="261"/>
      <c r="N239" s="261"/>
      <c r="O239" s="260" t="s">
        <v>4668</v>
      </c>
      <c r="P239" s="261"/>
      <c r="Q239" s="261"/>
      <c r="R239" s="261"/>
      <c r="AA239" s="261"/>
      <c r="AB239" s="261"/>
      <c r="AC239" s="261"/>
      <c r="AD239" s="260" t="s">
        <v>5919</v>
      </c>
      <c r="AE239" s="261"/>
      <c r="AF239" s="261"/>
      <c r="AG239" s="261"/>
    </row>
    <row r="240" spans="5:33" ht="16.5" customHeight="1">
      <c r="E240" s="261"/>
      <c r="L240" s="261"/>
      <c r="M240" s="261">
        <v>180</v>
      </c>
      <c r="N240" s="261" t="s">
        <v>826</v>
      </c>
      <c r="O240" s="268" t="s">
        <v>5379</v>
      </c>
      <c r="P240" s="264">
        <v>60.65</v>
      </c>
      <c r="Q240" s="261" t="s">
        <v>2539</v>
      </c>
      <c r="R240" s="261">
        <f>M240*P240</f>
        <v>10917</v>
      </c>
      <c r="AA240" s="261"/>
      <c r="AB240" s="261">
        <v>180</v>
      </c>
      <c r="AC240" s="261" t="s">
        <v>826</v>
      </c>
      <c r="AD240" s="268" t="s">
        <v>5920</v>
      </c>
      <c r="AE240" s="264">
        <v>85.3</v>
      </c>
      <c r="AF240" s="261" t="s">
        <v>2539</v>
      </c>
      <c r="AG240" s="261">
        <f>AB240*AE240</f>
        <v>15354</v>
      </c>
    </row>
    <row r="241" spans="5:35" ht="27" customHeight="1">
      <c r="E241" s="261"/>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c r="E242" s="261"/>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L243" s="261"/>
      <c r="M243" s="261">
        <v>90</v>
      </c>
      <c r="N243" s="261" t="s">
        <v>826</v>
      </c>
      <c r="O243" s="268" t="s">
        <v>5380</v>
      </c>
      <c r="P243" s="261">
        <v>40.950000000000003</v>
      </c>
      <c r="Q243" s="261" t="s">
        <v>2539</v>
      </c>
      <c r="R243" s="261">
        <f>M243*P243</f>
        <v>3685.5</v>
      </c>
      <c r="AA243" s="261"/>
      <c r="AB243" s="261">
        <v>90</v>
      </c>
      <c r="AC243" s="261" t="s">
        <v>826</v>
      </c>
      <c r="AD243" s="268" t="s">
        <v>5921</v>
      </c>
      <c r="AE243" s="261">
        <v>56.7</v>
      </c>
      <c r="AF243" s="261" t="s">
        <v>2539</v>
      </c>
      <c r="AG243" s="261">
        <f>AB243*AE243</f>
        <v>5103</v>
      </c>
    </row>
    <row r="244" spans="5:35">
      <c r="E244" s="261"/>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L245" s="261"/>
      <c r="M245" s="261"/>
      <c r="N245" s="261"/>
      <c r="O245" s="261" t="s">
        <v>2271</v>
      </c>
      <c r="P245" s="261"/>
      <c r="Q245" s="261"/>
      <c r="R245" s="261">
        <v>79</v>
      </c>
      <c r="AA245" s="261"/>
      <c r="AB245" s="261"/>
      <c r="AC245" s="261"/>
      <c r="AD245" s="261" t="s">
        <v>2271</v>
      </c>
      <c r="AE245" s="261"/>
      <c r="AF245" s="261"/>
      <c r="AG245" s="261">
        <v>79</v>
      </c>
    </row>
    <row r="246" spans="5:35">
      <c r="E246" s="261"/>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L249" s="261">
        <f>208*90</f>
        <v>18720</v>
      </c>
      <c r="M249" s="261"/>
      <c r="S249" s="252">
        <f>212.5*90</f>
        <v>19125</v>
      </c>
      <c r="V249" s="252">
        <f>V248/90</f>
        <v>376.66</v>
      </c>
    </row>
    <row r="250" spans="5:35">
      <c r="E250" s="261"/>
      <c r="L250" s="261">
        <f>L249-'Print Data (2)'!F457</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'Print Data (2)'!F455</f>
        <v>19249.5</v>
      </c>
      <c r="L256" s="261"/>
      <c r="M256" s="261"/>
    </row>
    <row r="257" spans="5:18" ht="31.5">
      <c r="E257" s="261"/>
      <c r="F257" s="261">
        <v>180</v>
      </c>
      <c r="G257" s="261" t="s">
        <v>826</v>
      </c>
      <c r="H257" s="260" t="s">
        <v>5381</v>
      </c>
      <c r="I257" s="264">
        <v>25.75</v>
      </c>
      <c r="J257" s="261" t="s">
        <v>826</v>
      </c>
      <c r="K257" s="261">
        <f>F257*I257</f>
        <v>4635</v>
      </c>
      <c r="L257" s="261"/>
      <c r="M257" s="261"/>
    </row>
    <row r="258" spans="5:18" ht="31.5">
      <c r="E258" s="261"/>
      <c r="F258" s="261">
        <v>180</v>
      </c>
      <c r="G258" s="261" t="s">
        <v>826</v>
      </c>
      <c r="H258" s="260" t="s">
        <v>2943</v>
      </c>
      <c r="I258" s="261">
        <f>'Print Data (2)'!D453</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5382</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'Print Data (2)'!D451</f>
        <v>20</v>
      </c>
      <c r="J268" s="261" t="s">
        <v>826</v>
      </c>
      <c r="K268" s="261">
        <f>F268*I268</f>
        <v>1800</v>
      </c>
      <c r="L268" s="261"/>
      <c r="M268" s="261"/>
      <c r="N268" s="261"/>
      <c r="O268" s="260"/>
      <c r="P268" s="261"/>
      <c r="Q268" s="261"/>
      <c r="R268" s="261"/>
    </row>
    <row r="269" spans="5:18">
      <c r="E269" s="261"/>
      <c r="F269" s="261">
        <v>3</v>
      </c>
      <c r="G269" s="261" t="s">
        <v>2632</v>
      </c>
      <c r="H269" s="261" t="s">
        <v>390</v>
      </c>
      <c r="I269" s="261">
        <f>'Print Data (2)'!D452</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'Print Data (2)'!F454</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975" t="s">
        <v>3619</v>
      </c>
      <c r="P280" s="975"/>
      <c r="Q280" s="261"/>
      <c r="R280" s="261"/>
      <c r="S280" s="261"/>
    </row>
    <row r="281" spans="5:19" ht="31.5">
      <c r="E281" s="261"/>
      <c r="F281" s="261">
        <v>360</v>
      </c>
      <c r="G281" s="261"/>
      <c r="H281" s="262" t="s">
        <v>4611</v>
      </c>
      <c r="I281" s="261">
        <f>I267</f>
        <v>40.950000000000003</v>
      </c>
      <c r="J281" s="261" t="s">
        <v>2539</v>
      </c>
      <c r="K281" s="261">
        <f>F281*I281</f>
        <v>14742</v>
      </c>
      <c r="L281" s="261"/>
      <c r="M281" s="261">
        <v>360</v>
      </c>
      <c r="N281" s="261"/>
      <c r="O281" s="268" t="s">
        <v>4621</v>
      </c>
      <c r="P281" s="261">
        <v>60.65</v>
      </c>
      <c r="Q281" s="261" t="s">
        <v>2539</v>
      </c>
      <c r="R281" s="261">
        <f>M281*P281</f>
        <v>21834</v>
      </c>
      <c r="S281" s="261"/>
    </row>
    <row r="282" spans="5:19" ht="31.5">
      <c r="E282" s="261"/>
      <c r="F282" s="261">
        <v>90</v>
      </c>
      <c r="G282" s="261"/>
      <c r="H282" s="260" t="s">
        <v>5383</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4281</v>
      </c>
      <c r="I284" s="261">
        <f>I270</f>
        <v>25.75</v>
      </c>
      <c r="J284" s="261" t="s">
        <v>2539</v>
      </c>
      <c r="K284" s="261">
        <f>F284*I284</f>
        <v>2317.5</v>
      </c>
      <c r="L284" s="261"/>
      <c r="M284" s="261">
        <v>90</v>
      </c>
      <c r="N284" s="261"/>
      <c r="O284" s="268" t="s">
        <v>5384</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5385</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5386</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4641</v>
      </c>
      <c r="I298" s="261"/>
      <c r="J298" s="261"/>
      <c r="K298" s="261"/>
      <c r="L298" s="261"/>
      <c r="M298" s="261">
        <v>90</v>
      </c>
      <c r="N298" s="261"/>
      <c r="O298" s="268" t="s">
        <v>5387</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5388</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4642</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4643</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5922</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5389</v>
      </c>
      <c r="I349" s="263">
        <v>462</v>
      </c>
      <c r="J349" s="261" t="s">
        <v>1394</v>
      </c>
      <c r="K349" s="261">
        <f>F349*I349</f>
        <v>462</v>
      </c>
      <c r="L349" s="261"/>
      <c r="M349" s="261"/>
    </row>
    <row r="350" spans="5:130">
      <c r="E350" s="261"/>
      <c r="F350" s="261">
        <v>1</v>
      </c>
      <c r="G350" s="261" t="s">
        <v>1394</v>
      </c>
      <c r="H350" s="261" t="s">
        <v>4644</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4645</v>
      </c>
      <c r="I360" s="266">
        <v>889</v>
      </c>
      <c r="J360" s="261" t="s">
        <v>1394</v>
      </c>
      <c r="K360" s="261">
        <f>F360*I360</f>
        <v>889</v>
      </c>
      <c r="L360" s="261"/>
      <c r="M360" s="261"/>
    </row>
    <row r="361" spans="5:13" ht="31.5">
      <c r="E361" s="261"/>
      <c r="F361" s="261">
        <v>1</v>
      </c>
      <c r="G361" s="261" t="s">
        <v>1394</v>
      </c>
      <c r="H361" s="260" t="s">
        <v>4646</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6058</v>
      </c>
      <c r="I374" s="261"/>
      <c r="J374" s="261"/>
      <c r="K374" s="261"/>
      <c r="L374" s="261"/>
      <c r="M374" s="261"/>
      <c r="N374" s="261"/>
      <c r="O374" s="258" t="s">
        <v>6059</v>
      </c>
      <c r="P374" s="261"/>
      <c r="Q374" s="261"/>
      <c r="R374" s="261"/>
    </row>
    <row r="375" spans="5:18" ht="31.5">
      <c r="E375" s="261"/>
      <c r="F375" s="261">
        <v>1</v>
      </c>
      <c r="G375" s="261" t="s">
        <v>1394</v>
      </c>
      <c r="H375" s="260" t="s">
        <v>5923</v>
      </c>
      <c r="I375" s="264">
        <v>1315</v>
      </c>
      <c r="J375" s="261" t="s">
        <v>1394</v>
      </c>
      <c r="K375" s="261">
        <f>F375*I375</f>
        <v>1315</v>
      </c>
      <c r="L375" s="261"/>
      <c r="M375" s="261">
        <v>1</v>
      </c>
      <c r="N375" s="261" t="s">
        <v>1394</v>
      </c>
      <c r="O375" s="260" t="s">
        <v>5968</v>
      </c>
      <c r="P375" s="264">
        <v>2866</v>
      </c>
      <c r="Q375" s="261" t="s">
        <v>1394</v>
      </c>
      <c r="R375" s="261">
        <f>M375*P375</f>
        <v>2866</v>
      </c>
    </row>
    <row r="376" spans="5:18" ht="31.5">
      <c r="E376" s="261"/>
      <c r="F376" s="261">
        <v>1</v>
      </c>
      <c r="G376" s="261" t="s">
        <v>1394</v>
      </c>
      <c r="H376" s="260" t="s">
        <v>4646</v>
      </c>
      <c r="I376" s="261">
        <f>I361</f>
        <v>161.30000000000001</v>
      </c>
      <c r="J376" s="261" t="s">
        <v>1394</v>
      </c>
      <c r="K376" s="261">
        <f>F376*I376</f>
        <v>161.30000000000001</v>
      </c>
      <c r="L376" s="261"/>
      <c r="M376" s="261">
        <v>1</v>
      </c>
      <c r="N376" s="261" t="s">
        <v>1394</v>
      </c>
      <c r="O376" s="260" t="s">
        <v>4646</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5390</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6037</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5391</v>
      </c>
      <c r="I399" s="263">
        <v>3093</v>
      </c>
      <c r="J399" s="261" t="s">
        <v>1394</v>
      </c>
      <c r="K399" s="261">
        <f>F399*I399</f>
        <v>3093</v>
      </c>
      <c r="L399" s="261"/>
      <c r="M399" s="261"/>
    </row>
    <row r="400" spans="5:14">
      <c r="E400" s="261"/>
      <c r="F400" s="261">
        <v>1</v>
      </c>
      <c r="G400" s="261" t="s">
        <v>1394</v>
      </c>
      <c r="H400" s="261" t="s">
        <v>6038</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4720</v>
      </c>
    </row>
    <row r="406" spans="5:19" ht="31.5">
      <c r="E406" s="261"/>
      <c r="F406" s="261"/>
      <c r="G406" s="261"/>
      <c r="H406" s="258" t="s">
        <v>3338</v>
      </c>
      <c r="I406" s="261"/>
      <c r="J406" s="261"/>
      <c r="K406" s="261"/>
      <c r="L406" s="261"/>
      <c r="M406" s="261"/>
      <c r="O406" s="258" t="s">
        <v>4715</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4716</v>
      </c>
      <c r="P408" s="261">
        <v>2487</v>
      </c>
      <c r="Q408" s="261" t="s">
        <v>1394</v>
      </c>
      <c r="R408" s="261">
        <f>P408*M408</f>
        <v>2487</v>
      </c>
    </row>
    <row r="409" spans="5:19">
      <c r="E409" s="261"/>
      <c r="F409" s="261">
        <v>2</v>
      </c>
      <c r="G409" s="261" t="s">
        <v>1394</v>
      </c>
      <c r="H409" s="261" t="s">
        <v>5392</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4717</v>
      </c>
      <c r="P410" s="293">
        <v>8.5500000000000007</v>
      </c>
      <c r="Q410" s="261" t="s">
        <v>4718</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4719</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5393</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4612</v>
      </c>
      <c r="I458" s="263">
        <v>101.5</v>
      </c>
      <c r="J458" s="261" t="s">
        <v>1645</v>
      </c>
      <c r="K458" s="261">
        <f>F458*I458</f>
        <v>964.25</v>
      </c>
      <c r="L458" s="261"/>
      <c r="M458" s="261"/>
    </row>
    <row r="459" spans="5:13">
      <c r="E459" s="261"/>
      <c r="F459" s="261">
        <v>0.5</v>
      </c>
      <c r="G459" s="261" t="s">
        <v>1645</v>
      </c>
      <c r="H459" s="261" t="s">
        <v>5964</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5965</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5394</v>
      </c>
      <c r="I475" s="263">
        <v>163</v>
      </c>
      <c r="J475" s="261" t="s">
        <v>826</v>
      </c>
      <c r="K475" s="261">
        <f>F475*I475</f>
        <v>407.5</v>
      </c>
      <c r="L475" s="261"/>
      <c r="M475" s="261"/>
    </row>
    <row r="476" spans="5:13">
      <c r="E476" s="261"/>
      <c r="F476" s="261">
        <v>1</v>
      </c>
      <c r="G476" s="261" t="s">
        <v>826</v>
      </c>
      <c r="H476" s="261" t="s">
        <v>4613</v>
      </c>
      <c r="I476" s="263">
        <v>98.6</v>
      </c>
      <c r="J476" s="261" t="s">
        <v>826</v>
      </c>
      <c r="K476" s="261">
        <f t="shared" ref="K476:K485" si="14">F476*I476</f>
        <v>98.6</v>
      </c>
      <c r="L476" s="261"/>
      <c r="M476" s="261"/>
    </row>
    <row r="477" spans="5:13">
      <c r="E477" s="261"/>
      <c r="F477" s="261">
        <v>1</v>
      </c>
      <c r="G477" s="261" t="s">
        <v>826</v>
      </c>
      <c r="H477" s="261" t="s">
        <v>4614</v>
      </c>
      <c r="I477" s="263">
        <v>69.8</v>
      </c>
      <c r="J477" s="261" t="s">
        <v>826</v>
      </c>
      <c r="K477" s="261">
        <f t="shared" si="14"/>
        <v>69.8</v>
      </c>
      <c r="L477" s="261"/>
      <c r="M477" s="261"/>
    </row>
    <row r="478" spans="5:13">
      <c r="E478" s="261"/>
      <c r="F478" s="261">
        <v>1</v>
      </c>
      <c r="G478" s="261" t="s">
        <v>1394</v>
      </c>
      <c r="H478" s="261" t="s">
        <v>4615</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4669</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5966</v>
      </c>
      <c r="I482" s="266">
        <f>101.7/20.32</f>
        <v>5</v>
      </c>
      <c r="J482" s="261" t="s">
        <v>1645</v>
      </c>
      <c r="K482" s="261">
        <f t="shared" si="14"/>
        <v>200</v>
      </c>
      <c r="L482" s="261">
        <f>101.7/20.32</f>
        <v>5</v>
      </c>
      <c r="M482" s="261"/>
    </row>
    <row r="483" spans="5:14">
      <c r="E483" s="261"/>
      <c r="F483" s="261">
        <v>2</v>
      </c>
      <c r="G483" s="261" t="s">
        <v>1394</v>
      </c>
      <c r="H483" s="261" t="s">
        <v>4616</v>
      </c>
      <c r="I483" s="263">
        <v>13.6</v>
      </c>
      <c r="J483" s="261" t="s">
        <v>1394</v>
      </c>
      <c r="K483" s="261">
        <f t="shared" si="14"/>
        <v>27.2</v>
      </c>
      <c r="L483" s="261"/>
      <c r="M483" s="261"/>
      <c r="N483" s="252">
        <f>97.15/20.32</f>
        <v>4.78</v>
      </c>
    </row>
    <row r="484" spans="5:14">
      <c r="E484" s="261"/>
      <c r="F484" s="261">
        <v>4</v>
      </c>
      <c r="G484" s="261" t="s">
        <v>1394</v>
      </c>
      <c r="H484" s="261" t="s">
        <v>4617</v>
      </c>
      <c r="I484" s="263">
        <v>13.6</v>
      </c>
      <c r="J484" s="261" t="s">
        <v>1394</v>
      </c>
      <c r="K484" s="261">
        <f t="shared" si="14"/>
        <v>54.4</v>
      </c>
      <c r="L484" s="261"/>
      <c r="M484" s="261"/>
    </row>
    <row r="485" spans="5:14">
      <c r="E485" s="261"/>
      <c r="F485" s="261">
        <v>10</v>
      </c>
      <c r="G485" s="261" t="s">
        <v>1645</v>
      </c>
      <c r="H485" s="261" t="s">
        <v>5967</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5395</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5396</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5397</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6060</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5398</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5399</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4284</v>
      </c>
      <c r="I623" s="261">
        <f>I553</f>
        <v>1520</v>
      </c>
      <c r="J623" s="261" t="s">
        <v>1394</v>
      </c>
      <c r="K623" s="261">
        <f>F623*I623</f>
        <v>1520</v>
      </c>
      <c r="L623" s="261"/>
      <c r="M623" s="261"/>
    </row>
    <row r="624" spans="5:13">
      <c r="E624" s="261"/>
      <c r="F624" s="261">
        <v>3</v>
      </c>
      <c r="G624" s="261" t="s">
        <v>1394</v>
      </c>
      <c r="H624" s="261" t="s">
        <v>5400</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4286</v>
      </c>
      <c r="I633" s="296">
        <f>I558</f>
        <v>1876</v>
      </c>
      <c r="J633" s="261" t="s">
        <v>1394</v>
      </c>
      <c r="K633" s="261">
        <f>F633*I633</f>
        <v>1876</v>
      </c>
      <c r="L633" s="261"/>
      <c r="M633" s="261"/>
    </row>
    <row r="634" spans="5:13">
      <c r="E634" s="261"/>
      <c r="F634" s="261">
        <v>3</v>
      </c>
      <c r="G634" s="261" t="s">
        <v>1394</v>
      </c>
      <c r="H634" s="261" t="s">
        <v>4285</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6061</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4647</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5924</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5401</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5402</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4648</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5403</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6062</v>
      </c>
      <c r="I729" s="261"/>
      <c r="J729" s="261"/>
      <c r="K729" s="261"/>
      <c r="L729" s="261"/>
      <c r="M729" s="261"/>
    </row>
    <row r="730" spans="5:15">
      <c r="E730" s="261"/>
      <c r="F730" s="261">
        <v>30.42</v>
      </c>
      <c r="G730" s="261" t="s">
        <v>2151</v>
      </c>
      <c r="H730" s="261" t="s">
        <v>5404</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4252</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4618</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5405</v>
      </c>
      <c r="I747" s="263">
        <v>66.8</v>
      </c>
      <c r="J747" s="261" t="s">
        <v>2636</v>
      </c>
      <c r="K747" s="261">
        <f>F747*I747</f>
        <v>66.8</v>
      </c>
      <c r="L747" s="261"/>
      <c r="M747" s="261"/>
    </row>
    <row r="748" spans="5:13">
      <c r="E748" s="261"/>
      <c r="F748" s="261">
        <v>300</v>
      </c>
      <c r="G748" s="261" t="s">
        <v>1394</v>
      </c>
      <c r="H748" s="261" t="s">
        <v>5406</v>
      </c>
      <c r="I748" s="263">
        <v>69.400000000000006</v>
      </c>
      <c r="J748" s="261" t="s">
        <v>2636</v>
      </c>
      <c r="K748" s="261">
        <f>F748*(I748/144)</f>
        <v>144.58000000000001</v>
      </c>
      <c r="L748" s="261"/>
      <c r="M748" s="261"/>
    </row>
    <row r="749" spans="5:13">
      <c r="E749" s="261"/>
      <c r="F749" s="261">
        <v>300</v>
      </c>
      <c r="G749" s="261" t="s">
        <v>1394</v>
      </c>
      <c r="H749" s="261" t="s">
        <v>5407</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4291</v>
      </c>
      <c r="I772" s="263">
        <v>3110</v>
      </c>
      <c r="J772" s="266">
        <v>2970</v>
      </c>
      <c r="K772" s="263">
        <v>3012</v>
      </c>
      <c r="L772" s="263">
        <v>3055</v>
      </c>
      <c r="M772" s="261"/>
    </row>
    <row r="773" spans="5:20">
      <c r="E773" s="261"/>
      <c r="F773" s="261"/>
      <c r="G773" s="261"/>
      <c r="H773" s="261" t="s">
        <v>5408</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976" t="s">
        <v>4660</v>
      </c>
      <c r="N779" s="976"/>
      <c r="O779" s="976"/>
      <c r="P779" s="976"/>
      <c r="Q779" s="976"/>
      <c r="R779" s="976"/>
    </row>
    <row r="780" spans="5:20" ht="15.75" customHeight="1">
      <c r="E780" s="261"/>
      <c r="F780" s="261"/>
      <c r="G780" s="261"/>
      <c r="H780" s="261"/>
      <c r="I780" s="261"/>
      <c r="J780" s="261"/>
      <c r="K780" s="261"/>
      <c r="L780" s="261"/>
      <c r="M780" s="977" t="s">
        <v>4661</v>
      </c>
      <c r="N780" s="977"/>
      <c r="O780" s="977"/>
      <c r="P780" s="977"/>
      <c r="Q780" s="977"/>
      <c r="R780" s="977"/>
    </row>
    <row r="781" spans="5:20">
      <c r="E781" s="261"/>
      <c r="F781" s="261">
        <v>2</v>
      </c>
      <c r="G781" s="261" t="s">
        <v>826</v>
      </c>
      <c r="H781" s="261" t="s">
        <v>5409</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4302</v>
      </c>
      <c r="P782" s="269">
        <f>I682</f>
        <v>128</v>
      </c>
      <c r="Q782" s="261" t="s">
        <v>826</v>
      </c>
      <c r="R782" s="269">
        <f>P782*M782</f>
        <v>192</v>
      </c>
    </row>
    <row r="783" spans="5:20">
      <c r="E783" s="261"/>
      <c r="F783" s="261">
        <v>1</v>
      </c>
      <c r="G783" s="261" t="s">
        <v>1394</v>
      </c>
      <c r="H783" s="261" t="s">
        <v>4292</v>
      </c>
      <c r="I783" s="261">
        <f>M565</f>
        <v>48.05</v>
      </c>
      <c r="J783" s="261" t="s">
        <v>1398</v>
      </c>
      <c r="K783" s="261">
        <f>F783*I783</f>
        <v>48.05</v>
      </c>
      <c r="L783" s="261"/>
      <c r="M783" s="269">
        <v>2</v>
      </c>
      <c r="N783" s="261" t="s">
        <v>1995</v>
      </c>
      <c r="O783" s="261" t="s">
        <v>2860</v>
      </c>
      <c r="P783" s="269">
        <f>I782</f>
        <v>35</v>
      </c>
      <c r="Q783" s="261" t="s">
        <v>1995</v>
      </c>
      <c r="R783" s="269">
        <f>M783*P783</f>
        <v>70</v>
      </c>
      <c r="T783" s="252" t="s">
        <v>5701</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978" t="s">
        <v>657</v>
      </c>
      <c r="Q788" s="978"/>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4662</v>
      </c>
      <c r="P802" s="261"/>
      <c r="Q802" s="261"/>
      <c r="R802" s="261"/>
      <c r="T802" s="261"/>
      <c r="U802" s="261"/>
      <c r="V802" s="272" t="s">
        <v>5678</v>
      </c>
      <c r="W802" s="261"/>
      <c r="X802" s="261"/>
      <c r="Y802" s="261"/>
    </row>
    <row r="803" spans="5:26">
      <c r="E803" s="261"/>
      <c r="F803" s="261">
        <v>1</v>
      </c>
      <c r="G803" s="261" t="s">
        <v>1394</v>
      </c>
      <c r="H803" s="260" t="s">
        <v>5410</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5411</v>
      </c>
      <c r="I804" s="264">
        <v>36.200000000000003</v>
      </c>
      <c r="J804" s="261" t="s">
        <v>1394</v>
      </c>
      <c r="K804" s="261">
        <f>F804*I804</f>
        <v>36.200000000000003</v>
      </c>
      <c r="L804" s="261"/>
      <c r="M804" s="261">
        <v>1</v>
      </c>
      <c r="N804" s="261" t="s">
        <v>1394</v>
      </c>
      <c r="O804" s="260" t="s">
        <v>5925</v>
      </c>
      <c r="P804" s="305">
        <v>1193</v>
      </c>
      <c r="Q804" s="261" t="s">
        <v>1394</v>
      </c>
      <c r="R804" s="261">
        <f>M804*P804</f>
        <v>1193</v>
      </c>
      <c r="T804" s="261">
        <v>1</v>
      </c>
      <c r="U804" s="261" t="s">
        <v>1394</v>
      </c>
      <c r="V804" s="260" t="s">
        <v>5926</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976" t="s">
        <v>4150</v>
      </c>
      <c r="N810" s="976"/>
      <c r="O810" s="976"/>
      <c r="P810" s="976"/>
      <c r="Q810" s="976"/>
      <c r="R810" s="976"/>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4151</v>
      </c>
      <c r="P811" s="306">
        <v>7000</v>
      </c>
      <c r="Q811" s="262" t="s">
        <v>4152</v>
      </c>
      <c r="R811" s="262">
        <f>P811*M811</f>
        <v>7000</v>
      </c>
      <c r="T811" s="261"/>
      <c r="U811" s="261"/>
      <c r="V811" s="272"/>
      <c r="W811" s="261"/>
      <c r="X811" s="261"/>
      <c r="Y811" s="261"/>
    </row>
    <row r="812" spans="5:26">
      <c r="E812" s="261"/>
      <c r="F812" s="261">
        <v>1.5</v>
      </c>
      <c r="G812" s="261" t="s">
        <v>826</v>
      </c>
      <c r="H812" s="261" t="s">
        <v>5412</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5927</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4032</v>
      </c>
      <c r="I814" s="261">
        <f>I783</f>
        <v>48.05</v>
      </c>
      <c r="J814" s="261" t="s">
        <v>1394</v>
      </c>
      <c r="K814" s="261">
        <f>F814*I814</f>
        <v>48.05</v>
      </c>
      <c r="L814" s="261"/>
      <c r="M814" s="259"/>
      <c r="N814" s="259"/>
      <c r="O814" s="260" t="s">
        <v>2490</v>
      </c>
      <c r="P814" s="978" t="s">
        <v>657</v>
      </c>
      <c r="Q814" s="978"/>
      <c r="R814" s="269">
        <v>17.329999999999998</v>
      </c>
      <c r="T814" s="261">
        <v>1</v>
      </c>
      <c r="U814" s="261" t="s">
        <v>1394</v>
      </c>
      <c r="V814" s="260" t="s">
        <v>5928</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983" t="s">
        <v>4727</v>
      </c>
      <c r="N828" s="983"/>
      <c r="O828" s="983"/>
      <c r="P828" s="983"/>
      <c r="Q828" s="983"/>
      <c r="R828" s="983"/>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5413</v>
      </c>
      <c r="P830" s="305">
        <v>5363</v>
      </c>
      <c r="Q830" s="261" t="s">
        <v>560</v>
      </c>
      <c r="R830" s="269">
        <f>P830*M830</f>
        <v>5363</v>
      </c>
    </row>
    <row r="831" spans="5:25" ht="47.25">
      <c r="E831" s="261"/>
      <c r="F831" s="261">
        <v>1</v>
      </c>
      <c r="G831" s="261" t="s">
        <v>1394</v>
      </c>
      <c r="H831" s="260" t="s">
        <v>4293</v>
      </c>
      <c r="I831" s="261">
        <f>I545</f>
        <v>348</v>
      </c>
      <c r="J831" s="261" t="s">
        <v>1394</v>
      </c>
      <c r="K831" s="261">
        <f>F831*I831</f>
        <v>348</v>
      </c>
      <c r="L831" s="261"/>
      <c r="M831" s="311">
        <v>1</v>
      </c>
      <c r="N831" s="312" t="s">
        <v>560</v>
      </c>
      <c r="O831" s="312" t="s">
        <v>5414</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5415</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4728</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4729</v>
      </c>
      <c r="P834" s="269">
        <v>127</v>
      </c>
      <c r="Q834" s="312" t="s">
        <v>560</v>
      </c>
      <c r="R834" s="269">
        <f>M834*P834</f>
        <v>1524</v>
      </c>
    </row>
    <row r="835" spans="4:18">
      <c r="E835" s="261"/>
      <c r="F835" s="261">
        <v>5</v>
      </c>
      <c r="G835" s="261" t="s">
        <v>826</v>
      </c>
      <c r="H835" s="261" t="s">
        <v>4619</v>
      </c>
      <c r="I835" s="263">
        <f>I781</f>
        <v>98.6</v>
      </c>
      <c r="J835" s="261" t="s">
        <v>826</v>
      </c>
      <c r="K835" s="261">
        <f t="shared" si="17"/>
        <v>493</v>
      </c>
      <c r="L835" s="261"/>
      <c r="M835" s="269"/>
      <c r="N835" s="261" t="s">
        <v>657</v>
      </c>
      <c r="O835" s="260" t="s">
        <v>4730</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4731</v>
      </c>
      <c r="P836" s="978" t="s">
        <v>657</v>
      </c>
      <c r="Q836" s="978"/>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5416</v>
      </c>
      <c r="I839" s="264">
        <v>775</v>
      </c>
      <c r="J839" s="261" t="s">
        <v>1394</v>
      </c>
      <c r="K839" s="261">
        <f t="shared" si="17"/>
        <v>775</v>
      </c>
      <c r="L839" s="261"/>
      <c r="M839" s="261"/>
      <c r="O839" s="260" t="s">
        <v>4732</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4223</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5413</v>
      </c>
      <c r="P845" s="305">
        <v>5363</v>
      </c>
      <c r="Q845" s="261" t="s">
        <v>560</v>
      </c>
      <c r="R845" s="269">
        <f>P845*M845</f>
        <v>5363</v>
      </c>
    </row>
    <row r="846" spans="4:18">
      <c r="E846" s="261"/>
      <c r="F846" s="261"/>
      <c r="G846" s="261"/>
      <c r="H846" s="272" t="s">
        <v>4649</v>
      </c>
      <c r="I846" s="261">
        <f>I797</f>
        <v>104280</v>
      </c>
      <c r="J846" s="278">
        <v>2.7000000000000001E-3</v>
      </c>
      <c r="K846" s="272">
        <f>I846*J846</f>
        <v>281.56</v>
      </c>
      <c r="L846" s="261"/>
      <c r="M846" s="311">
        <v>1</v>
      </c>
      <c r="N846" s="312" t="s">
        <v>560</v>
      </c>
      <c r="O846" s="312" t="s">
        <v>5514</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5513</v>
      </c>
      <c r="P847" s="313">
        <v>130</v>
      </c>
      <c r="Q847" s="312" t="s">
        <v>560</v>
      </c>
      <c r="R847" s="269">
        <f>P847*M847</f>
        <v>390</v>
      </c>
    </row>
    <row r="848" spans="4:18">
      <c r="E848" s="261"/>
      <c r="F848" s="261"/>
      <c r="G848" s="261"/>
      <c r="H848" s="272"/>
      <c r="I848" s="261"/>
      <c r="J848" s="261"/>
      <c r="K848" s="261"/>
      <c r="L848" s="261"/>
      <c r="M848" s="311">
        <v>3</v>
      </c>
      <c r="N848" s="312" t="s">
        <v>560</v>
      </c>
      <c r="O848" s="312" t="s">
        <v>4728</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4729</v>
      </c>
      <c r="P849" s="269">
        <v>127</v>
      </c>
      <c r="Q849" s="312" t="s">
        <v>560</v>
      </c>
      <c r="R849" s="269">
        <f>P849*M849</f>
        <v>1524</v>
      </c>
    </row>
    <row r="850" spans="5:18">
      <c r="E850" s="261"/>
      <c r="F850" s="261"/>
      <c r="G850" s="261"/>
      <c r="H850" s="261" t="s">
        <v>797</v>
      </c>
      <c r="I850" s="261"/>
      <c r="J850" s="261"/>
      <c r="K850" s="261"/>
      <c r="L850" s="261"/>
      <c r="M850" s="269"/>
      <c r="N850" s="261" t="s">
        <v>657</v>
      </c>
      <c r="O850" s="260" t="s">
        <v>4730</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4731</v>
      </c>
      <c r="P851" s="978" t="s">
        <v>657</v>
      </c>
      <c r="Q851" s="978"/>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4732</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4223</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4727</v>
      </c>
    </row>
    <row r="862" spans="5:18" ht="31.5">
      <c r="E862" s="261"/>
      <c r="F862" s="261">
        <v>1</v>
      </c>
      <c r="G862" s="261" t="s">
        <v>826</v>
      </c>
      <c r="H862" s="261" t="s">
        <v>4033</v>
      </c>
      <c r="I862" s="261">
        <f>I851</f>
        <v>20</v>
      </c>
      <c r="J862" s="261" t="s">
        <v>826</v>
      </c>
      <c r="K862" s="261">
        <f>F862*I862</f>
        <v>20</v>
      </c>
      <c r="L862" s="261"/>
      <c r="M862" s="269">
        <v>1</v>
      </c>
      <c r="N862" s="261" t="s">
        <v>560</v>
      </c>
      <c r="O862" s="260" t="s">
        <v>5413</v>
      </c>
      <c r="P862" s="269">
        <v>5310</v>
      </c>
      <c r="Q862" s="261" t="s">
        <v>560</v>
      </c>
      <c r="R862" s="269">
        <f>P862*M862</f>
        <v>5310</v>
      </c>
    </row>
    <row r="863" spans="5:18">
      <c r="E863" s="261"/>
      <c r="F863" s="261">
        <v>1</v>
      </c>
      <c r="G863" s="261" t="s">
        <v>826</v>
      </c>
      <c r="H863" s="261" t="s">
        <v>4294</v>
      </c>
      <c r="I863" s="261">
        <f>I282</f>
        <v>29.8</v>
      </c>
      <c r="J863" s="261" t="s">
        <v>826</v>
      </c>
      <c r="K863" s="261">
        <f>F863*I863</f>
        <v>29.8</v>
      </c>
      <c r="L863" s="261"/>
      <c r="M863" s="311">
        <v>1</v>
      </c>
      <c r="N863" s="312" t="s">
        <v>560</v>
      </c>
      <c r="O863" s="312" t="s">
        <v>5414</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5545</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5546</v>
      </c>
      <c r="P865" s="311">
        <v>829</v>
      </c>
      <c r="Q865" s="312" t="s">
        <v>560</v>
      </c>
      <c r="R865" s="269">
        <f>P865*M865</f>
        <v>2487</v>
      </c>
    </row>
    <row r="866" spans="5:18">
      <c r="E866" s="261"/>
      <c r="F866" s="261"/>
      <c r="G866" s="261"/>
      <c r="H866" s="272"/>
      <c r="I866" s="261"/>
      <c r="J866" s="261"/>
      <c r="K866" s="261"/>
      <c r="L866" s="261"/>
      <c r="M866" s="269">
        <v>12</v>
      </c>
      <c r="N866" s="312" t="s">
        <v>560</v>
      </c>
      <c r="O866" s="260" t="s">
        <v>4729</v>
      </c>
      <c r="P866" s="269">
        <v>173</v>
      </c>
      <c r="Q866" s="312" t="s">
        <v>560</v>
      </c>
      <c r="R866" s="269">
        <f>P866*M866</f>
        <v>2076</v>
      </c>
    </row>
    <row r="867" spans="5:18">
      <c r="E867" s="261"/>
      <c r="F867" s="261"/>
      <c r="G867" s="261"/>
      <c r="H867" s="272" t="s">
        <v>2627</v>
      </c>
      <c r="I867" s="261"/>
      <c r="J867" s="261"/>
      <c r="K867" s="261"/>
      <c r="L867" s="261"/>
      <c r="M867" s="269"/>
      <c r="N867" s="261" t="s">
        <v>657</v>
      </c>
      <c r="O867" s="260" t="s">
        <v>4730</v>
      </c>
      <c r="P867" s="269"/>
      <c r="Q867" s="261" t="s">
        <v>657</v>
      </c>
      <c r="R867" s="269">
        <v>55.3</v>
      </c>
    </row>
    <row r="868" spans="5:18">
      <c r="E868" s="261"/>
      <c r="F868" s="261">
        <v>1</v>
      </c>
      <c r="G868" s="261" t="s">
        <v>1394</v>
      </c>
      <c r="H868" s="261" t="s">
        <v>5417</v>
      </c>
      <c r="I868" s="263">
        <v>37.1</v>
      </c>
      <c r="J868" s="261" t="s">
        <v>1394</v>
      </c>
      <c r="K868" s="261">
        <f>F868*I868</f>
        <v>37.1</v>
      </c>
      <c r="L868" s="261"/>
      <c r="M868" s="269"/>
      <c r="N868" s="261" t="s">
        <v>657</v>
      </c>
      <c r="O868" s="260" t="s">
        <v>4731</v>
      </c>
      <c r="P868" s="978" t="s">
        <v>657</v>
      </c>
      <c r="Q868" s="978"/>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5547</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4223</v>
      </c>
      <c r="R873" s="274">
        <v>20473</v>
      </c>
    </row>
    <row r="874" spans="5:18">
      <c r="E874" s="261"/>
      <c r="F874" s="261"/>
      <c r="G874" s="261"/>
      <c r="H874" s="261"/>
      <c r="I874" s="261"/>
      <c r="J874" s="261"/>
      <c r="K874" s="261"/>
      <c r="L874" s="261"/>
      <c r="M874" s="261"/>
    </row>
    <row r="875" spans="5:18" ht="47.25">
      <c r="E875" s="261"/>
      <c r="F875" s="261"/>
      <c r="G875" s="261"/>
      <c r="H875" s="260" t="s">
        <v>6063</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5418</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5419</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4650</v>
      </c>
      <c r="I889" s="264">
        <v>225.4</v>
      </c>
      <c r="J889" s="261" t="s">
        <v>1394</v>
      </c>
      <c r="K889" s="261">
        <f>F889*I889</f>
        <v>225.4</v>
      </c>
      <c r="L889" s="261"/>
      <c r="M889" s="261"/>
    </row>
    <row r="890" spans="5:13">
      <c r="F890" s="261">
        <v>1</v>
      </c>
      <c r="G890" s="261" t="s">
        <v>1394</v>
      </c>
      <c r="H890" s="261" t="s">
        <v>5420</v>
      </c>
      <c r="I890" s="264">
        <v>115.1</v>
      </c>
      <c r="J890" s="261" t="s">
        <v>1394</v>
      </c>
      <c r="K890" s="261">
        <f>F890*I890</f>
        <v>115.1</v>
      </c>
      <c r="L890" s="261"/>
      <c r="M890" s="261"/>
    </row>
    <row r="891" spans="5:13">
      <c r="F891" s="265">
        <v>0.23799999999999999</v>
      </c>
      <c r="G891" s="261" t="s">
        <v>2151</v>
      </c>
      <c r="H891" s="261" t="s">
        <v>4651</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4652</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5421</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6064</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5422</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5423</v>
      </c>
      <c r="I934" s="263">
        <v>1553</v>
      </c>
      <c r="J934" s="261" t="s">
        <v>1394</v>
      </c>
      <c r="K934" s="261">
        <f>F934*I934</f>
        <v>1553</v>
      </c>
      <c r="L934" s="261"/>
      <c r="M934" s="261"/>
    </row>
    <row r="935" spans="5:13">
      <c r="E935" s="261"/>
      <c r="F935" s="261">
        <v>1</v>
      </c>
      <c r="G935" s="261" t="s">
        <v>1394</v>
      </c>
      <c r="H935" s="261" t="s">
        <v>5424</v>
      </c>
      <c r="I935" s="264">
        <v>185.9</v>
      </c>
      <c r="J935" s="261" t="s">
        <v>1394</v>
      </c>
      <c r="K935" s="261">
        <f>F935*I935</f>
        <v>185.9</v>
      </c>
      <c r="L935" s="261"/>
      <c r="M935" s="261"/>
    </row>
    <row r="936" spans="5:13">
      <c r="E936" s="261"/>
      <c r="F936" s="261"/>
      <c r="G936" s="261"/>
      <c r="H936" s="271" t="s">
        <v>2854</v>
      </c>
      <c r="I936" s="261"/>
      <c r="J936" s="261"/>
      <c r="K936" s="272">
        <f>SUM(K934:K935)+0.8</f>
        <v>1739.7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5425</v>
      </c>
      <c r="I939" s="264">
        <v>309</v>
      </c>
      <c r="J939" s="261" t="s">
        <v>1394</v>
      </c>
      <c r="K939" s="261">
        <f>F939*I939</f>
        <v>309</v>
      </c>
      <c r="L939" s="261"/>
      <c r="M939" s="261"/>
    </row>
    <row r="940" spans="5:13">
      <c r="E940" s="261"/>
      <c r="F940" s="261">
        <v>1</v>
      </c>
      <c r="G940" s="261" t="s">
        <v>1394</v>
      </c>
      <c r="H940" s="261" t="s">
        <v>5426</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5427</v>
      </c>
      <c r="I946" s="264">
        <v>279.2</v>
      </c>
      <c r="J946" s="261" t="s">
        <v>1394</v>
      </c>
      <c r="K946" s="261">
        <f>F946*I946</f>
        <v>279.2</v>
      </c>
      <c r="L946" s="261"/>
      <c r="M946" s="261"/>
    </row>
    <row r="947" spans="5:13">
      <c r="E947" s="261"/>
      <c r="F947" s="261">
        <v>1</v>
      </c>
      <c r="G947" s="261" t="s">
        <v>1394</v>
      </c>
      <c r="H947" s="261" t="s">
        <v>5428</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4625</v>
      </c>
      <c r="I954" s="261"/>
      <c r="J954" s="261"/>
      <c r="K954" s="261"/>
      <c r="L954" s="261"/>
      <c r="M954" s="261"/>
    </row>
    <row r="955" spans="5:13">
      <c r="E955" s="261"/>
      <c r="F955" s="261">
        <v>1</v>
      </c>
      <c r="G955" s="261" t="s">
        <v>1394</v>
      </c>
      <c r="H955" s="261" t="s">
        <v>5929</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4653</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4298</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5429</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4620</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5430</v>
      </c>
      <c r="I985" s="264">
        <v>13.8</v>
      </c>
      <c r="J985" s="261" t="s">
        <v>1394</v>
      </c>
      <c r="K985" s="261">
        <f t="shared" si="18"/>
        <v>138</v>
      </c>
      <c r="L985" s="261"/>
      <c r="M985" s="261"/>
    </row>
    <row r="986" spans="5:13">
      <c r="E986" s="261"/>
      <c r="F986" s="261">
        <v>1</v>
      </c>
      <c r="G986" s="261" t="s">
        <v>1394</v>
      </c>
      <c r="H986" s="261" t="s">
        <v>5431</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Data!I3242</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6054</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4299</v>
      </c>
      <c r="I1030" s="261"/>
      <c r="J1030" s="261"/>
      <c r="K1030" s="264">
        <f>K63</f>
        <v>417</v>
      </c>
      <c r="L1030" s="261"/>
      <c r="M1030" s="261"/>
    </row>
    <row r="1031" spans="5:13">
      <c r="E1031" s="261"/>
      <c r="F1031" s="261"/>
      <c r="H1031" s="261" t="s">
        <v>5432</v>
      </c>
      <c r="I1031" s="261"/>
      <c r="J1031" s="261"/>
      <c r="K1031" s="264">
        <f>10*16.65</f>
        <v>166.5</v>
      </c>
      <c r="L1031" s="261"/>
      <c r="M1031" s="261"/>
    </row>
    <row r="1032" spans="5:13">
      <c r="E1032" s="261"/>
      <c r="F1032" s="261"/>
      <c r="G1032" s="261"/>
      <c r="H1032" s="261" t="s">
        <v>5433</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4657</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6065</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4654</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5434</v>
      </c>
      <c r="I1053" s="261"/>
      <c r="J1053" s="261"/>
      <c r="K1053" s="264">
        <f>69.9*10</f>
        <v>699</v>
      </c>
      <c r="L1053" s="261"/>
      <c r="M1053" s="261"/>
    </row>
    <row r="1054" spans="5:13">
      <c r="E1054" s="261"/>
      <c r="F1054" s="261"/>
      <c r="G1054" s="261"/>
      <c r="H1054" s="261" t="s">
        <v>6039</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4656</v>
      </c>
      <c r="I1061" s="261"/>
      <c r="J1061" s="261"/>
      <c r="K1061" s="261"/>
      <c r="L1061" s="261"/>
      <c r="M1061" s="261"/>
    </row>
    <row r="1062" spans="5:13" ht="173.25">
      <c r="E1062" s="261"/>
      <c r="F1062" s="261"/>
      <c r="G1062" s="261"/>
      <c r="H1062" s="260" t="s">
        <v>4655</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4659</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4658</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'Print Data (2)'!D450</f>
        <v>16.55</v>
      </c>
      <c r="J1109" s="261" t="s">
        <v>826</v>
      </c>
      <c r="K1109" s="261">
        <f>I1109*F1109</f>
        <v>2979</v>
      </c>
      <c r="L1109" s="261"/>
      <c r="M1109" s="261"/>
    </row>
    <row r="1110" spans="5:13" ht="31.5">
      <c r="E1110" s="261"/>
      <c r="F1110" s="261">
        <v>90</v>
      </c>
      <c r="G1110" s="261" t="s">
        <v>826</v>
      </c>
      <c r="H1110" s="260" t="s">
        <v>2364</v>
      </c>
      <c r="I1110" s="261">
        <f>'Print Data (2)'!D451</f>
        <v>20</v>
      </c>
      <c r="J1110" s="261" t="s">
        <v>826</v>
      </c>
      <c r="K1110" s="261">
        <f t="shared" ref="K1110:K1115" si="22">I1110*F1110</f>
        <v>1800</v>
      </c>
      <c r="L1110" s="261"/>
      <c r="M1110" s="261"/>
    </row>
    <row r="1111" spans="5:13">
      <c r="E1111" s="261"/>
      <c r="F1111" s="261">
        <v>1</v>
      </c>
      <c r="G1111" s="261" t="s">
        <v>3115</v>
      </c>
      <c r="H1111" s="260" t="s">
        <v>4663</v>
      </c>
      <c r="I1111" s="264">
        <v>43.7</v>
      </c>
      <c r="J1111" s="261" t="s">
        <v>3115</v>
      </c>
      <c r="K1111" s="261">
        <f t="shared" si="22"/>
        <v>43.7</v>
      </c>
      <c r="L1111" s="261"/>
      <c r="M1111" s="261"/>
    </row>
    <row r="1112" spans="5:13">
      <c r="E1112" s="261"/>
      <c r="F1112" s="261">
        <v>300</v>
      </c>
      <c r="G1112" s="261" t="s">
        <v>1432</v>
      </c>
      <c r="H1112" s="260" t="s">
        <v>4664</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'Print Data (2)'!D452</f>
        <v>302</v>
      </c>
      <c r="J1114" s="261" t="s">
        <v>2632</v>
      </c>
      <c r="K1114" s="261">
        <f t="shared" si="22"/>
        <v>99.66</v>
      </c>
      <c r="L1114" s="261"/>
      <c r="M1114" s="261"/>
    </row>
    <row r="1115" spans="5:13" ht="31.5">
      <c r="E1115" s="261"/>
      <c r="F1115" s="261">
        <v>90</v>
      </c>
      <c r="G1115" s="261" t="s">
        <v>826</v>
      </c>
      <c r="H1115" s="268" t="s">
        <v>2638</v>
      </c>
      <c r="I1115" s="261">
        <f>'Print Data (2)'!D453</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L1122" s="261"/>
      <c r="M1122" s="261"/>
    </row>
    <row r="1123" spans="5:13">
      <c r="E1123" s="261"/>
      <c r="L1123" s="261"/>
      <c r="M1123" s="261"/>
    </row>
    <row r="1124" spans="5:13">
      <c r="E1124" s="261"/>
      <c r="L1124" s="261"/>
      <c r="M1124" s="261"/>
    </row>
    <row r="1125" spans="5:13">
      <c r="E1125" s="261"/>
      <c r="L1125" s="261"/>
      <c r="M1125" s="261"/>
    </row>
    <row r="1126" spans="5:13">
      <c r="E1126" s="261"/>
      <c r="L1126" s="261"/>
      <c r="M1126" s="261"/>
    </row>
    <row r="1127" spans="5:13">
      <c r="E1127" s="261"/>
      <c r="L1127" s="261"/>
      <c r="M1127" s="261"/>
    </row>
    <row r="1128" spans="5:13">
      <c r="E1128" s="261"/>
      <c r="L1128" s="261"/>
      <c r="M1128" s="261"/>
    </row>
    <row r="1129" spans="5:13">
      <c r="E1129" s="261"/>
      <c r="L1129" s="261"/>
      <c r="M1129" s="261"/>
    </row>
    <row r="1130" spans="5:13">
      <c r="E1130" s="261"/>
      <c r="L1130" s="261"/>
      <c r="M1130" s="261"/>
    </row>
    <row r="1131" spans="5:13">
      <c r="E1131" s="261"/>
      <c r="L1131" s="261">
        <f>'Print Data (2)'!F432*30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L1135" s="261"/>
      <c r="M1135" s="261"/>
    </row>
    <row r="1136" spans="5:13">
      <c r="E1136" s="261"/>
      <c r="L1136" s="261"/>
      <c r="M1136" s="261"/>
    </row>
    <row r="1137" spans="5:13">
      <c r="E1137" s="261"/>
      <c r="L1137" s="261"/>
      <c r="M1137" s="261"/>
    </row>
    <row r="1138" spans="5:13">
      <c r="E1138" s="261"/>
      <c r="L1138" s="261"/>
      <c r="M1138" s="261"/>
    </row>
    <row r="1139" spans="5:13">
      <c r="E1139" s="261"/>
      <c r="L1139" s="261"/>
      <c r="M1139" s="261"/>
    </row>
    <row r="1140" spans="5:13">
      <c r="E1140" s="261"/>
      <c r="L1140" s="261"/>
      <c r="M1140" s="261"/>
    </row>
    <row r="1141" spans="5:13">
      <c r="E1141" s="261"/>
      <c r="L1141" s="261"/>
      <c r="M1141" s="261"/>
    </row>
    <row r="1142" spans="5:13">
      <c r="E1142" s="261"/>
      <c r="L1142" s="261"/>
      <c r="M1142" s="261"/>
    </row>
    <row r="1143" spans="5:13">
      <c r="E1143" s="261"/>
      <c r="L1143" s="261"/>
      <c r="M1143" s="261"/>
    </row>
    <row r="1144" spans="5:13">
      <c r="E1144" s="261"/>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4035</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'Print Data (2)'!F438</f>
        <v>11804.7</v>
      </c>
      <c r="L1151" s="261"/>
      <c r="M1151" s="261"/>
    </row>
    <row r="1152" spans="5:13" ht="31.5">
      <c r="E1152" s="261"/>
      <c r="F1152" s="261">
        <v>360</v>
      </c>
      <c r="G1152" s="261" t="s">
        <v>826</v>
      </c>
      <c r="H1152" s="260" t="s">
        <v>4301</v>
      </c>
      <c r="I1152" s="264">
        <v>91.25</v>
      </c>
      <c r="J1152" s="261" t="s">
        <v>826</v>
      </c>
      <c r="K1152" s="261">
        <f>F1152*I1152</f>
        <v>32850</v>
      </c>
      <c r="L1152" s="261"/>
      <c r="M1152" s="261"/>
    </row>
    <row r="1153" spans="5:13" ht="31.5">
      <c r="E1153" s="261"/>
      <c r="F1153" s="261">
        <v>180</v>
      </c>
      <c r="G1153" s="261" t="s">
        <v>826</v>
      </c>
      <c r="H1153" s="260" t="s">
        <v>2943</v>
      </c>
      <c r="I1153" s="261">
        <f>'Print Data (2)'!D440</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4351</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4352</v>
      </c>
      <c r="I1173" s="264">
        <v>60.65</v>
      </c>
      <c r="J1173" s="261" t="s">
        <v>826</v>
      </c>
      <c r="K1173" s="261">
        <f>F1173*I1173</f>
        <v>21834</v>
      </c>
      <c r="L1173" s="261"/>
      <c r="M1173" s="261"/>
    </row>
    <row r="1174" spans="5:13" ht="31.5">
      <c r="E1174" s="261"/>
      <c r="F1174" s="261">
        <v>180</v>
      </c>
      <c r="G1174" s="261" t="s">
        <v>826</v>
      </c>
      <c r="H1174" s="260" t="s">
        <v>2943</v>
      </c>
      <c r="I1174" s="261">
        <f>'Print Data (2)'!D440</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4353</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4354</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4153</v>
      </c>
      <c r="I1196" s="322"/>
      <c r="J1196" s="325"/>
      <c r="K1196" s="326"/>
      <c r="L1196" s="261"/>
      <c r="M1196" s="261"/>
    </row>
    <row r="1197" spans="5:13">
      <c r="E1197" s="261"/>
      <c r="F1197" s="322"/>
      <c r="G1197" s="323"/>
      <c r="H1197" s="327" t="s">
        <v>4154</v>
      </c>
      <c r="I1197" s="322"/>
      <c r="J1197" s="325"/>
      <c r="K1197" s="322"/>
      <c r="L1197" s="261"/>
      <c r="M1197" s="261"/>
    </row>
    <row r="1198" spans="5:13">
      <c r="E1198" s="261"/>
      <c r="F1198" s="322"/>
      <c r="G1198" s="323"/>
      <c r="H1198" s="328" t="s">
        <v>4155</v>
      </c>
      <c r="I1198" s="322"/>
      <c r="J1198" s="325"/>
      <c r="K1198" s="322"/>
      <c r="L1198" s="261"/>
      <c r="M1198" s="261"/>
    </row>
    <row r="1199" spans="5:13">
      <c r="E1199" s="261"/>
      <c r="F1199" s="322"/>
      <c r="G1199" s="323"/>
      <c r="H1199" s="327" t="s">
        <v>4156</v>
      </c>
      <c r="I1199" s="322"/>
      <c r="J1199" s="325">
        <f>3.3*3.3*2+6.6+6.6+6.6</f>
        <v>41.58</v>
      </c>
      <c r="K1199" s="322"/>
      <c r="L1199" s="261"/>
      <c r="M1199" s="261"/>
    </row>
    <row r="1200" spans="5:13">
      <c r="E1200" s="261"/>
      <c r="F1200" s="322"/>
      <c r="G1200" s="323"/>
      <c r="H1200" s="327" t="s">
        <v>4157</v>
      </c>
      <c r="I1200" s="322"/>
      <c r="J1200" s="325"/>
      <c r="K1200" s="322"/>
      <c r="L1200" s="261"/>
      <c r="M1200" s="261"/>
    </row>
    <row r="1201" spans="5:13">
      <c r="E1201" s="261"/>
      <c r="F1201" s="322"/>
      <c r="G1201" s="323"/>
      <c r="H1201" s="327" t="s">
        <v>4158</v>
      </c>
      <c r="I1201" s="322"/>
      <c r="J1201" s="325"/>
      <c r="K1201" s="322"/>
      <c r="L1201" s="261"/>
      <c r="M1201" s="261"/>
    </row>
    <row r="1202" spans="5:13">
      <c r="E1202" s="261"/>
      <c r="F1202" s="322"/>
      <c r="G1202" s="323"/>
      <c r="H1202" s="327" t="s">
        <v>4159</v>
      </c>
      <c r="I1202" s="322"/>
      <c r="J1202" s="325"/>
      <c r="K1202" s="322"/>
      <c r="L1202" s="261"/>
      <c r="M1202" s="261"/>
    </row>
    <row r="1203" spans="5:13">
      <c r="E1203" s="261"/>
      <c r="F1203" s="322"/>
      <c r="G1203" s="323"/>
      <c r="H1203" s="327" t="s">
        <v>4160</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4161</v>
      </c>
      <c r="I1205" s="322"/>
      <c r="J1205" s="325"/>
      <c r="K1205" s="322"/>
      <c r="L1205" s="261"/>
      <c r="M1205" s="261"/>
    </row>
    <row r="1206" spans="5:13">
      <c r="E1206" s="261"/>
      <c r="F1206" s="329"/>
      <c r="G1206" s="323"/>
      <c r="H1206" s="328" t="s">
        <v>4162</v>
      </c>
      <c r="I1206" s="322"/>
      <c r="J1206" s="325"/>
      <c r="K1206" s="322"/>
      <c r="L1206" s="261"/>
      <c r="M1206" s="261"/>
    </row>
    <row r="1207" spans="5:13">
      <c r="E1207" s="261"/>
      <c r="F1207" s="322"/>
      <c r="G1207" s="323"/>
      <c r="H1207" s="327" t="s">
        <v>6066</v>
      </c>
      <c r="I1207" s="322"/>
      <c r="J1207" s="325"/>
      <c r="K1207" s="322"/>
      <c r="L1207" s="261"/>
      <c r="M1207" s="261"/>
    </row>
    <row r="1208" spans="5:13">
      <c r="E1208" s="261"/>
      <c r="F1208" s="330">
        <v>53.512999999999998</v>
      </c>
      <c r="G1208" s="323" t="s">
        <v>913</v>
      </c>
      <c r="H1208" s="327" t="s">
        <v>5456</v>
      </c>
      <c r="I1208" s="331">
        <v>51.4</v>
      </c>
      <c r="J1208" s="325" t="s">
        <v>913</v>
      </c>
      <c r="K1208" s="322">
        <f>I1208*F1208</f>
        <v>2750.57</v>
      </c>
      <c r="L1208" s="261"/>
      <c r="M1208" s="261"/>
    </row>
    <row r="1209" spans="5:13">
      <c r="E1209" s="261"/>
      <c r="F1209" s="329"/>
      <c r="G1209" s="323"/>
      <c r="H1209" s="328" t="s">
        <v>4163</v>
      </c>
      <c r="I1209" s="322"/>
      <c r="J1209" s="325"/>
      <c r="K1209" s="322"/>
      <c r="L1209" s="261"/>
      <c r="M1209" s="261"/>
    </row>
    <row r="1210" spans="5:13">
      <c r="E1210" s="261"/>
      <c r="F1210" s="322"/>
      <c r="G1210" s="323"/>
      <c r="H1210" s="327" t="s">
        <v>4164</v>
      </c>
      <c r="I1210" s="322"/>
      <c r="J1210" s="325"/>
      <c r="K1210" s="322"/>
      <c r="L1210" s="261"/>
      <c r="M1210" s="261"/>
    </row>
    <row r="1211" spans="5:13">
      <c r="E1211" s="261"/>
      <c r="F1211" s="322"/>
      <c r="G1211" s="323"/>
      <c r="H1211" s="327" t="s">
        <v>4165</v>
      </c>
      <c r="I1211" s="322"/>
      <c r="J1211" s="325"/>
      <c r="K1211" s="322"/>
      <c r="L1211" s="261"/>
      <c r="M1211" s="261"/>
    </row>
    <row r="1212" spans="5:13">
      <c r="E1212" s="261"/>
      <c r="F1212" s="322"/>
      <c r="G1212" s="323"/>
      <c r="H1212" s="327" t="s">
        <v>4166</v>
      </c>
      <c r="I1212" s="322"/>
      <c r="J1212" s="325"/>
      <c r="K1212" s="322"/>
      <c r="L1212" s="261"/>
      <c r="M1212" s="261"/>
    </row>
    <row r="1213" spans="5:13">
      <c r="E1213" s="261"/>
      <c r="F1213" s="322"/>
      <c r="G1213" s="323"/>
      <c r="H1213" s="327" t="s">
        <v>4167</v>
      </c>
      <c r="I1213" s="322"/>
      <c r="J1213" s="325"/>
      <c r="K1213" s="322"/>
      <c r="L1213" s="261"/>
      <c r="M1213" s="261"/>
    </row>
    <row r="1214" spans="5:13" ht="25.5">
      <c r="E1214" s="261"/>
      <c r="F1214" s="322"/>
      <c r="G1214" s="323"/>
      <c r="H1214" s="327" t="s">
        <v>4168</v>
      </c>
      <c r="I1214" s="322"/>
      <c r="J1214" s="325"/>
      <c r="K1214" s="322"/>
      <c r="L1214" s="261"/>
      <c r="M1214" s="261"/>
    </row>
    <row r="1215" spans="5:13">
      <c r="E1215" s="261"/>
      <c r="F1215" s="322"/>
      <c r="G1215" s="323"/>
      <c r="H1215" s="327" t="s">
        <v>4169</v>
      </c>
      <c r="I1215" s="322"/>
      <c r="J1215" s="325"/>
      <c r="K1215" s="322"/>
      <c r="L1215" s="261"/>
      <c r="M1215" s="261"/>
    </row>
    <row r="1216" spans="5:13">
      <c r="E1216" s="261"/>
      <c r="F1216" s="322"/>
      <c r="G1216" s="323"/>
      <c r="H1216" s="327" t="s">
        <v>4170</v>
      </c>
      <c r="I1216" s="322"/>
      <c r="J1216" s="325"/>
      <c r="K1216" s="322"/>
      <c r="L1216" s="261"/>
      <c r="M1216" s="261"/>
    </row>
    <row r="1217" spans="5:13">
      <c r="E1217" s="261"/>
      <c r="F1217" s="322">
        <v>18.600000000000001</v>
      </c>
      <c r="G1217" s="323" t="s">
        <v>913</v>
      </c>
      <c r="H1217" s="327" t="s">
        <v>4171</v>
      </c>
      <c r="I1217" s="322">
        <f>I1208</f>
        <v>51.4</v>
      </c>
      <c r="J1217" s="325" t="s">
        <v>913</v>
      </c>
      <c r="K1217" s="322">
        <f>SUM(F1217*I1217)</f>
        <v>956.04</v>
      </c>
      <c r="L1217" s="261"/>
      <c r="M1217" s="261"/>
    </row>
    <row r="1218" spans="5:13">
      <c r="E1218" s="261"/>
      <c r="F1218" s="322"/>
      <c r="G1218" s="323"/>
      <c r="H1218" s="328" t="s">
        <v>4172</v>
      </c>
      <c r="I1218" s="322"/>
      <c r="J1218" s="325"/>
      <c r="K1218" s="322"/>
      <c r="L1218" s="261"/>
      <c r="M1218" s="261"/>
    </row>
    <row r="1219" spans="5:13">
      <c r="E1219" s="261"/>
      <c r="F1219" s="322"/>
      <c r="G1219" s="323"/>
      <c r="H1219" s="327" t="s">
        <v>4173</v>
      </c>
      <c r="I1219" s="322"/>
      <c r="J1219" s="325"/>
      <c r="K1219" s="322"/>
      <c r="L1219" s="261"/>
      <c r="M1219" s="261"/>
    </row>
    <row r="1220" spans="5:13">
      <c r="E1220" s="261"/>
      <c r="F1220" s="322"/>
      <c r="G1220" s="323"/>
      <c r="H1220" s="327" t="s">
        <v>4174</v>
      </c>
      <c r="I1220" s="322"/>
      <c r="J1220" s="325"/>
      <c r="K1220" s="322"/>
      <c r="L1220" s="261"/>
      <c r="M1220" s="261"/>
    </row>
    <row r="1221" spans="5:13">
      <c r="E1221" s="261"/>
      <c r="F1221" s="322"/>
      <c r="G1221" s="323"/>
      <c r="H1221" s="327" t="s">
        <v>4175</v>
      </c>
      <c r="I1221" s="322"/>
      <c r="J1221" s="325"/>
      <c r="K1221" s="322"/>
      <c r="L1221" s="261"/>
      <c r="M1221" s="261"/>
    </row>
    <row r="1222" spans="5:13">
      <c r="E1222" s="261"/>
      <c r="F1222" s="322"/>
      <c r="G1222" s="323"/>
      <c r="H1222" s="327" t="s">
        <v>4176</v>
      </c>
      <c r="I1222" s="322"/>
      <c r="J1222" s="325"/>
      <c r="K1222" s="322"/>
      <c r="L1222" s="261"/>
      <c r="M1222" s="261"/>
    </row>
    <row r="1223" spans="5:13">
      <c r="E1223" s="261"/>
      <c r="F1223" s="322"/>
      <c r="G1223" s="323"/>
      <c r="H1223" s="327" t="s">
        <v>4177</v>
      </c>
      <c r="I1223" s="322"/>
      <c r="J1223" s="325"/>
      <c r="K1223" s="322"/>
      <c r="L1223" s="261"/>
      <c r="M1223" s="261"/>
    </row>
    <row r="1224" spans="5:13" ht="25.5">
      <c r="E1224" s="261"/>
      <c r="F1224" s="322"/>
      <c r="G1224" s="323"/>
      <c r="H1224" s="327" t="s">
        <v>4178</v>
      </c>
      <c r="I1224" s="322"/>
      <c r="J1224" s="325"/>
      <c r="K1224" s="322"/>
      <c r="L1224" s="261"/>
      <c r="M1224" s="261"/>
    </row>
    <row r="1225" spans="5:13">
      <c r="E1225" s="261"/>
      <c r="F1225" s="322"/>
      <c r="G1225" s="323"/>
      <c r="H1225" s="327" t="s">
        <v>4179</v>
      </c>
      <c r="I1225" s="322"/>
      <c r="J1225" s="325"/>
      <c r="K1225" s="322"/>
      <c r="L1225" s="261"/>
      <c r="M1225" s="261"/>
    </row>
    <row r="1226" spans="5:13">
      <c r="E1226" s="261"/>
      <c r="F1226" s="322"/>
      <c r="G1226" s="323"/>
      <c r="H1226" s="327" t="s">
        <v>4180</v>
      </c>
      <c r="I1226" s="322"/>
      <c r="J1226" s="325"/>
      <c r="K1226" s="322"/>
      <c r="L1226" s="261"/>
      <c r="M1226" s="261"/>
    </row>
    <row r="1227" spans="5:13" ht="25.5">
      <c r="E1227" s="261"/>
      <c r="F1227" s="322"/>
      <c r="G1227" s="323"/>
      <c r="H1227" s="327" t="s">
        <v>4181</v>
      </c>
      <c r="I1227" s="322"/>
      <c r="J1227" s="325"/>
      <c r="K1227" s="322"/>
      <c r="L1227" s="261"/>
      <c r="M1227" s="261"/>
    </row>
    <row r="1228" spans="5:13">
      <c r="E1228" s="261"/>
      <c r="F1228" s="322"/>
      <c r="G1228" s="323"/>
      <c r="H1228" s="327" t="s">
        <v>4182</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4183</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5435</v>
      </c>
      <c r="I1232" s="331">
        <v>562</v>
      </c>
      <c r="J1232" s="325" t="s">
        <v>913</v>
      </c>
      <c r="K1232" s="322">
        <f>SUM(F1232*I1232)</f>
        <v>3327.04</v>
      </c>
      <c r="L1232" s="261"/>
      <c r="M1232" s="261"/>
    </row>
    <row r="1233" spans="5:13">
      <c r="E1233" s="261"/>
      <c r="F1233" s="322">
        <f>F1232</f>
        <v>5.92</v>
      </c>
      <c r="G1233" s="323" t="s">
        <v>913</v>
      </c>
      <c r="H1233" s="327" t="s">
        <v>4184</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4185</v>
      </c>
      <c r="I1235" s="322"/>
      <c r="J1235" s="325"/>
      <c r="K1235" s="322"/>
      <c r="L1235" s="261"/>
      <c r="M1235" s="261"/>
    </row>
    <row r="1236" spans="5:13">
      <c r="E1236" s="261"/>
      <c r="F1236" s="322"/>
      <c r="G1236" s="323"/>
      <c r="H1236" s="327" t="s">
        <v>4186</v>
      </c>
      <c r="I1236" s="322"/>
      <c r="J1236" s="325"/>
      <c r="K1236" s="322"/>
      <c r="L1236" s="261"/>
      <c r="M1236" s="261"/>
    </row>
    <row r="1237" spans="5:13">
      <c r="E1237" s="261"/>
      <c r="F1237" s="322"/>
      <c r="G1237" s="323"/>
      <c r="H1237" s="327" t="s">
        <v>4187</v>
      </c>
      <c r="I1237" s="322"/>
      <c r="J1237" s="325"/>
      <c r="K1237" s="322"/>
      <c r="L1237" s="261"/>
      <c r="M1237" s="261"/>
    </row>
    <row r="1238" spans="5:13">
      <c r="E1238" s="261"/>
      <c r="F1238" s="322"/>
      <c r="G1238" s="323"/>
      <c r="H1238" s="327" t="s">
        <v>4188</v>
      </c>
      <c r="I1238" s="322"/>
      <c r="J1238" s="325"/>
      <c r="K1238" s="322"/>
      <c r="L1238" s="261"/>
      <c r="M1238" s="261"/>
    </row>
    <row r="1239" spans="5:13">
      <c r="E1239" s="261"/>
      <c r="F1239" s="322">
        <v>3.6</v>
      </c>
      <c r="G1239" s="323" t="s">
        <v>913</v>
      </c>
      <c r="H1239" s="327" t="s">
        <v>5436</v>
      </c>
      <c r="I1239" s="331">
        <v>94.9</v>
      </c>
      <c r="J1239" s="325" t="s">
        <v>913</v>
      </c>
      <c r="K1239" s="322">
        <f>I1239*F1239</f>
        <v>341.64</v>
      </c>
      <c r="L1239" s="261"/>
      <c r="M1239" s="261"/>
    </row>
    <row r="1240" spans="5:13">
      <c r="E1240" s="261"/>
      <c r="F1240" s="322"/>
      <c r="G1240" s="323"/>
      <c r="H1240" s="328" t="s">
        <v>4189</v>
      </c>
      <c r="I1240" s="322"/>
      <c r="J1240" s="325"/>
      <c r="K1240" s="322"/>
      <c r="L1240" s="261"/>
      <c r="M1240" s="261"/>
    </row>
    <row r="1241" spans="5:13">
      <c r="E1241" s="261"/>
      <c r="F1241" s="322">
        <v>3</v>
      </c>
      <c r="G1241" s="323" t="s">
        <v>1030</v>
      </c>
      <c r="H1241" s="327" t="s">
        <v>5437</v>
      </c>
      <c r="I1241" s="331">
        <v>555</v>
      </c>
      <c r="J1241" s="325" t="s">
        <v>1398</v>
      </c>
      <c r="K1241" s="322">
        <f>I1241*F1241</f>
        <v>1665</v>
      </c>
      <c r="L1241" s="261"/>
      <c r="M1241" s="261"/>
    </row>
    <row r="1242" spans="5:13">
      <c r="E1242" s="261"/>
      <c r="F1242" s="322">
        <v>1</v>
      </c>
      <c r="G1242" s="323" t="s">
        <v>1030</v>
      </c>
      <c r="H1242" s="327" t="s">
        <v>5438</v>
      </c>
      <c r="I1242" s="331">
        <v>343.7</v>
      </c>
      <c r="J1242" s="325" t="s">
        <v>1398</v>
      </c>
      <c r="K1242" s="322">
        <f>I1242*F1242</f>
        <v>343.7</v>
      </c>
      <c r="L1242" s="261"/>
      <c r="M1242" s="261"/>
    </row>
    <row r="1243" spans="5:13">
      <c r="E1243" s="261"/>
      <c r="F1243" s="322">
        <v>1</v>
      </c>
      <c r="G1243" s="323" t="s">
        <v>1030</v>
      </c>
      <c r="H1243" s="327" t="s">
        <v>4190</v>
      </c>
      <c r="I1243" s="332">
        <f>I1242</f>
        <v>343.7</v>
      </c>
      <c r="J1243" s="325" t="s">
        <v>1398</v>
      </c>
      <c r="K1243" s="322">
        <f>I1243*F1243</f>
        <v>343.7</v>
      </c>
      <c r="L1243" s="261"/>
      <c r="M1243" s="261"/>
    </row>
    <row r="1244" spans="5:13">
      <c r="E1244" s="261"/>
      <c r="F1244" s="333">
        <v>800</v>
      </c>
      <c r="G1244" s="325" t="s">
        <v>4191</v>
      </c>
      <c r="H1244" s="327" t="s">
        <v>4192</v>
      </c>
      <c r="I1244" s="322">
        <v>1</v>
      </c>
      <c r="J1244" s="325" t="s">
        <v>4191</v>
      </c>
      <c r="K1244" s="322">
        <f>SUM(F1244*I1244)</f>
        <v>800</v>
      </c>
      <c r="L1244" s="261"/>
      <c r="M1244" s="261"/>
    </row>
    <row r="1245" spans="5:13">
      <c r="E1245" s="261"/>
      <c r="F1245" s="322"/>
      <c r="G1245" s="323"/>
      <c r="H1245" s="327" t="s">
        <v>4193</v>
      </c>
      <c r="I1245" s="322"/>
      <c r="J1245" s="325"/>
      <c r="K1245" s="322"/>
      <c r="L1245" s="261"/>
      <c r="M1245" s="261"/>
    </row>
    <row r="1246" spans="5:13">
      <c r="E1246" s="261"/>
      <c r="F1246" s="322"/>
      <c r="G1246" s="323"/>
      <c r="H1246" s="327" t="s">
        <v>4194</v>
      </c>
      <c r="I1246" s="322"/>
      <c r="J1246" s="325"/>
      <c r="K1246" s="322"/>
      <c r="L1246" s="261"/>
      <c r="M1246" s="261"/>
    </row>
    <row r="1247" spans="5:13">
      <c r="E1247" s="261"/>
      <c r="F1247" s="334">
        <v>0.27</v>
      </c>
      <c r="G1247" s="323" t="s">
        <v>6067</v>
      </c>
      <c r="H1247" s="327" t="s">
        <v>5439</v>
      </c>
      <c r="I1247" s="322">
        <f>630*2</f>
        <v>1260</v>
      </c>
      <c r="J1247" s="335" t="s">
        <v>6067</v>
      </c>
      <c r="K1247" s="322">
        <f t="shared" ref="K1247:K1254" si="23">SUM(F1247*I1247)</f>
        <v>340.2</v>
      </c>
      <c r="L1247" s="261"/>
      <c r="M1247" s="261"/>
    </row>
    <row r="1248" spans="5:13">
      <c r="E1248" s="261"/>
      <c r="F1248" s="322">
        <v>9</v>
      </c>
      <c r="G1248" s="323" t="s">
        <v>1432</v>
      </c>
      <c r="H1248" s="327" t="s">
        <v>4195</v>
      </c>
      <c r="I1248" s="332">
        <v>20</v>
      </c>
      <c r="J1248" s="325" t="s">
        <v>1714</v>
      </c>
      <c r="K1248" s="322">
        <f t="shared" si="23"/>
        <v>180</v>
      </c>
      <c r="L1248" s="261"/>
      <c r="M1248" s="261"/>
    </row>
    <row r="1249" spans="5:13">
      <c r="E1249" s="261"/>
      <c r="F1249" s="322">
        <v>2</v>
      </c>
      <c r="G1249" s="323" t="s">
        <v>145</v>
      </c>
      <c r="H1249" s="327" t="s">
        <v>4196</v>
      </c>
      <c r="I1249" s="332">
        <v>280</v>
      </c>
      <c r="J1249" s="325" t="s">
        <v>145</v>
      </c>
      <c r="K1249" s="322">
        <f t="shared" si="23"/>
        <v>560</v>
      </c>
      <c r="L1249" s="261"/>
      <c r="M1249" s="261"/>
    </row>
    <row r="1250" spans="5:13">
      <c r="E1250" s="261"/>
      <c r="F1250" s="322">
        <v>5</v>
      </c>
      <c r="G1250" s="323" t="s">
        <v>3440</v>
      </c>
      <c r="H1250" s="327" t="s">
        <v>5440</v>
      </c>
      <c r="I1250" s="331">
        <v>10.45</v>
      </c>
      <c r="J1250" s="335" t="s">
        <v>3440</v>
      </c>
      <c r="K1250" s="322">
        <f t="shared" si="23"/>
        <v>52.25</v>
      </c>
      <c r="L1250" s="261"/>
      <c r="M1250" s="261"/>
    </row>
    <row r="1251" spans="5:13">
      <c r="E1251" s="261"/>
      <c r="F1251" s="336">
        <v>53.512999999999998</v>
      </c>
      <c r="G1251" s="337" t="s">
        <v>913</v>
      </c>
      <c r="H1251" s="327" t="s">
        <v>5441</v>
      </c>
      <c r="I1251" s="338">
        <v>47.8</v>
      </c>
      <c r="J1251" s="339" t="s">
        <v>913</v>
      </c>
      <c r="K1251" s="338">
        <f t="shared" si="23"/>
        <v>2557.92</v>
      </c>
      <c r="L1251" s="261"/>
      <c r="M1251" s="261"/>
    </row>
    <row r="1252" spans="5:13">
      <c r="E1252" s="261"/>
      <c r="F1252" s="336">
        <v>18.600000000000001</v>
      </c>
      <c r="G1252" s="337" t="s">
        <v>913</v>
      </c>
      <c r="H1252" s="327" t="s">
        <v>5442</v>
      </c>
      <c r="I1252" s="338">
        <v>47.8</v>
      </c>
      <c r="J1252" s="339" t="s">
        <v>913</v>
      </c>
      <c r="K1252" s="338">
        <f>SUM(F1252*I1252)</f>
        <v>889.08</v>
      </c>
      <c r="L1252" s="261"/>
      <c r="M1252" s="261"/>
    </row>
    <row r="1253" spans="5:13">
      <c r="E1253" s="261"/>
      <c r="F1253" s="322">
        <v>12</v>
      </c>
      <c r="G1253" s="323" t="s">
        <v>1432</v>
      </c>
      <c r="H1253" s="327" t="s">
        <v>4197</v>
      </c>
      <c r="I1253" s="332">
        <v>1898</v>
      </c>
      <c r="J1253" s="335" t="s">
        <v>1398</v>
      </c>
      <c r="K1253" s="322">
        <f t="shared" si="23"/>
        <v>22776</v>
      </c>
      <c r="L1253" s="261"/>
      <c r="M1253" s="261"/>
    </row>
    <row r="1254" spans="5:13">
      <c r="E1254" s="261"/>
      <c r="F1254" s="322">
        <v>83.16</v>
      </c>
      <c r="G1254" s="323" t="s">
        <v>4198</v>
      </c>
      <c r="H1254" s="327" t="s">
        <v>4199</v>
      </c>
      <c r="I1254" s="322">
        <v>10</v>
      </c>
      <c r="J1254" s="335" t="s">
        <v>4200</v>
      </c>
      <c r="K1254" s="322">
        <f t="shared" si="23"/>
        <v>831.6</v>
      </c>
      <c r="L1254" s="261"/>
      <c r="M1254" s="261"/>
    </row>
    <row r="1255" spans="5:13" ht="25.5">
      <c r="E1255" s="261"/>
      <c r="F1255" s="329">
        <v>24</v>
      </c>
      <c r="G1255" s="323" t="s">
        <v>4201</v>
      </c>
      <c r="H1255" s="340" t="s">
        <v>6068</v>
      </c>
      <c r="I1255" s="322">
        <v>56.7</v>
      </c>
      <c r="J1255" s="341" t="s">
        <v>4202</v>
      </c>
      <c r="K1255" s="322">
        <f>I1255*F1255</f>
        <v>1360.8</v>
      </c>
      <c r="L1255" s="261"/>
      <c r="M1255" s="261"/>
    </row>
    <row r="1256" spans="5:13">
      <c r="E1256" s="261"/>
      <c r="F1256" s="322"/>
      <c r="G1256" s="323"/>
      <c r="H1256" s="327" t="s">
        <v>4203</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4204</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6069</v>
      </c>
      <c r="I1260" s="322"/>
      <c r="J1260" s="325"/>
      <c r="K1260" s="322"/>
      <c r="L1260" s="261"/>
      <c r="M1260" s="261"/>
    </row>
    <row r="1261" spans="5:13">
      <c r="E1261" s="261"/>
      <c r="F1261" s="322"/>
      <c r="G1261" s="323"/>
      <c r="H1261" s="327" t="s">
        <v>4205</v>
      </c>
      <c r="I1261" s="322"/>
      <c r="J1261" s="325"/>
      <c r="K1261" s="322">
        <v>1500</v>
      </c>
      <c r="L1261" s="261"/>
      <c r="M1261" s="261"/>
    </row>
    <row r="1262" spans="5:13">
      <c r="E1262" s="261"/>
      <c r="F1262" s="322"/>
      <c r="G1262" s="323"/>
      <c r="H1262" s="327" t="s">
        <v>4206</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4207</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985" t="s">
        <v>3916</v>
      </c>
      <c r="B21" s="985"/>
      <c r="C21" s="985"/>
      <c r="D21" s="50"/>
      <c r="E21" s="56"/>
      <c r="F21" s="50"/>
      <c r="G21" s="57"/>
    </row>
    <row r="22" spans="1:7" ht="16.5">
      <c r="A22" s="985"/>
      <c r="B22" s="985"/>
      <c r="C22" s="985"/>
      <c r="D22" s="987"/>
      <c r="E22" s="987"/>
      <c r="F22" s="987"/>
      <c r="G22" s="987"/>
    </row>
    <row r="23" spans="1:7" ht="16.5">
      <c r="A23" s="58">
        <v>11.61</v>
      </c>
      <c r="B23" s="50" t="s">
        <v>913</v>
      </c>
      <c r="C23" s="59" t="s">
        <v>1854</v>
      </c>
      <c r="D23" s="50">
        <f>Data!V1353</f>
        <v>325</v>
      </c>
      <c r="E23" s="50" t="s">
        <v>913</v>
      </c>
      <c r="F23" s="50">
        <f>D23*A23</f>
        <v>3773.25</v>
      </c>
      <c r="G23" s="57"/>
    </row>
    <row r="24" spans="1:7" ht="16.5">
      <c r="A24" s="58">
        <v>7.8</v>
      </c>
      <c r="B24" s="50" t="s">
        <v>826</v>
      </c>
      <c r="C24" s="59" t="s">
        <v>3917</v>
      </c>
      <c r="D24" s="50">
        <f>Data!V1358</f>
        <v>29.05</v>
      </c>
      <c r="E24" s="50" t="s">
        <v>826</v>
      </c>
      <c r="F24" s="50">
        <f t="shared" ref="F24:F29" si="1">D24*A24</f>
        <v>226.59</v>
      </c>
      <c r="G24" s="57"/>
    </row>
    <row r="25" spans="1:7" ht="16.5">
      <c r="A25" s="58">
        <v>1.62</v>
      </c>
      <c r="B25" s="50" t="s">
        <v>233</v>
      </c>
      <c r="C25" s="59" t="s">
        <v>3918</v>
      </c>
      <c r="D25" s="50">
        <f>Data!P1396</f>
        <v>306.89999999999998</v>
      </c>
      <c r="E25" s="50" t="s">
        <v>233</v>
      </c>
      <c r="F25" s="50">
        <f t="shared" si="1"/>
        <v>497.18</v>
      </c>
      <c r="G25" s="57"/>
    </row>
    <row r="26" spans="1:7" ht="16.5">
      <c r="A26" s="58">
        <v>2</v>
      </c>
      <c r="B26" s="50" t="s">
        <v>769</v>
      </c>
      <c r="C26" s="59" t="s">
        <v>3919</v>
      </c>
      <c r="D26" s="50">
        <f>Data!P1399</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Data!P1402</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Data!I4008</f>
        <v>306.89999999999998</v>
      </c>
      <c r="J36" s="5">
        <f>Data!F4008</f>
        <v>1.823</v>
      </c>
      <c r="K36">
        <f>Data!K4008</f>
        <v>559.48</v>
      </c>
    </row>
    <row r="37" spans="1:11" ht="16.5">
      <c r="A37" s="58">
        <v>8.1</v>
      </c>
      <c r="B37" s="50" t="s">
        <v>233</v>
      </c>
      <c r="C37" s="59" t="s">
        <v>3917</v>
      </c>
      <c r="D37" s="50">
        <f t="shared" si="2"/>
        <v>29.05</v>
      </c>
      <c r="E37" s="50" t="s">
        <v>233</v>
      </c>
      <c r="F37" s="50">
        <f t="shared" ref="F37:F42" si="3">D37*A37</f>
        <v>235.31</v>
      </c>
      <c r="G37" s="50"/>
      <c r="I37">
        <f>Data!I4009</f>
        <v>29.05</v>
      </c>
      <c r="J37" s="5">
        <f>Data!F4009</f>
        <v>8.1</v>
      </c>
    </row>
    <row r="38" spans="1:11" ht="16.5">
      <c r="A38" s="58">
        <v>1.823</v>
      </c>
      <c r="B38" s="50" t="s">
        <v>826</v>
      </c>
      <c r="C38" s="59" t="s">
        <v>3918</v>
      </c>
      <c r="D38" s="50">
        <f t="shared" si="2"/>
        <v>306.89999999999998</v>
      </c>
      <c r="E38" s="50" t="s">
        <v>826</v>
      </c>
      <c r="F38" s="50">
        <f t="shared" si="3"/>
        <v>559.48</v>
      </c>
      <c r="G38" s="50"/>
      <c r="I38">
        <f>Data!I4010</f>
        <v>350</v>
      </c>
      <c r="J38" s="5">
        <f>Data!F4010</f>
        <v>2</v>
      </c>
    </row>
    <row r="39" spans="1:11" ht="16.5">
      <c r="A39" s="58">
        <v>2</v>
      </c>
      <c r="B39" s="50" t="s">
        <v>3926</v>
      </c>
      <c r="C39" s="59" t="s">
        <v>3919</v>
      </c>
      <c r="D39" s="50">
        <f t="shared" si="2"/>
        <v>57.65</v>
      </c>
      <c r="E39" s="50" t="s">
        <v>769</v>
      </c>
      <c r="F39" s="50">
        <f t="shared" si="3"/>
        <v>115.3</v>
      </c>
      <c r="G39" s="50"/>
      <c r="I39">
        <f>Data!I4011</f>
        <v>57.65</v>
      </c>
      <c r="J39" s="5">
        <f>Data!F4011</f>
        <v>2</v>
      </c>
    </row>
    <row r="40" spans="1:11" ht="16.5">
      <c r="A40" s="58">
        <v>2</v>
      </c>
      <c r="B40" s="50" t="s">
        <v>769</v>
      </c>
      <c r="C40" s="59" t="s">
        <v>3920</v>
      </c>
      <c r="D40" s="50">
        <f t="shared" si="2"/>
        <v>350</v>
      </c>
      <c r="E40" s="50" t="s">
        <v>769</v>
      </c>
      <c r="F40" s="50">
        <f t="shared" si="3"/>
        <v>700</v>
      </c>
      <c r="G40" s="50"/>
      <c r="I40">
        <f>Data!I4012</f>
        <v>15</v>
      </c>
      <c r="J40" s="5">
        <f>Data!F4012</f>
        <v>4</v>
      </c>
    </row>
    <row r="41" spans="1:11" ht="16.5">
      <c r="A41" s="58">
        <v>4</v>
      </c>
      <c r="B41" s="50" t="s">
        <v>769</v>
      </c>
      <c r="C41" s="59" t="s">
        <v>3921</v>
      </c>
      <c r="D41" s="50">
        <f t="shared" si="2"/>
        <v>15</v>
      </c>
      <c r="E41" s="50" t="s">
        <v>769</v>
      </c>
      <c r="F41" s="50">
        <f t="shared" si="3"/>
        <v>60</v>
      </c>
      <c r="G41" s="50"/>
      <c r="I41">
        <f>Data!I4013</f>
        <v>1998</v>
      </c>
      <c r="J41" s="5">
        <f>Data!F4013</f>
        <v>1.823</v>
      </c>
    </row>
    <row r="42" spans="1:11" ht="16.5">
      <c r="A42" s="58">
        <v>1.823</v>
      </c>
      <c r="B42" s="50" t="s">
        <v>2283</v>
      </c>
      <c r="C42" s="59" t="s">
        <v>3922</v>
      </c>
      <c r="D42" s="50">
        <f>F52</f>
        <v>1998</v>
      </c>
      <c r="E42" s="50" t="s">
        <v>2283</v>
      </c>
      <c r="F42" s="50">
        <f t="shared" si="3"/>
        <v>3642.35</v>
      </c>
      <c r="G42" s="50"/>
      <c r="I42">
        <f>Data!I4014</f>
        <v>0</v>
      </c>
      <c r="J42" s="5">
        <f>Data!F4014</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985" t="s">
        <v>3932</v>
      </c>
      <c r="C55" s="985"/>
      <c r="D55" s="985"/>
      <c r="E55" s="985"/>
      <c r="F55" s="985"/>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4090</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985" t="s">
        <v>3935</v>
      </c>
      <c r="C80" s="985"/>
      <c r="D80" s="985"/>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985" t="s">
        <v>3941</v>
      </c>
      <c r="B106" s="985"/>
      <c r="C106" s="985"/>
      <c r="D106" s="985"/>
      <c r="E106" s="985"/>
      <c r="F106" s="985"/>
      <c r="G106" s="50"/>
    </row>
    <row r="107" spans="1:7" ht="16.5">
      <c r="A107" s="985"/>
      <c r="B107" s="985"/>
      <c r="C107" s="985"/>
      <c r="D107" s="985"/>
      <c r="E107" s="985"/>
      <c r="F107" s="985"/>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985" t="s">
        <v>3942</v>
      </c>
      <c r="C128" s="985"/>
      <c r="D128" s="985"/>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985" t="s">
        <v>3946</v>
      </c>
      <c r="B155" s="985"/>
      <c r="C155" s="985"/>
      <c r="D155" s="985"/>
      <c r="E155" s="985"/>
      <c r="F155" s="985"/>
    </row>
    <row r="156" spans="1:7">
      <c r="A156" s="985"/>
      <c r="B156" s="985"/>
      <c r="C156" s="985"/>
      <c r="D156" s="985"/>
      <c r="E156" s="985"/>
      <c r="F156" s="985"/>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986"/>
      <c r="E178" s="986"/>
      <c r="F178" s="986"/>
    </row>
    <row r="179" spans="1:7">
      <c r="A179" s="7"/>
      <c r="C179" s="1"/>
    </row>
    <row r="180" spans="1:7">
      <c r="A180" s="25"/>
      <c r="B180" s="24" t="s">
        <v>2251</v>
      </c>
      <c r="C180" s="28" t="s">
        <v>4533</v>
      </c>
      <c r="D180" s="24"/>
      <c r="E180" s="25"/>
      <c r="F180" s="24"/>
      <c r="G180" s="5"/>
    </row>
    <row r="181" spans="1:7">
      <c r="A181" s="24"/>
      <c r="B181" s="24"/>
      <c r="C181" s="28" t="s">
        <v>4534</v>
      </c>
      <c r="D181" s="24"/>
      <c r="E181" s="25"/>
      <c r="F181" s="24"/>
      <c r="G181" s="5"/>
    </row>
    <row r="182" spans="1:7" ht="18">
      <c r="A182" s="24"/>
      <c r="B182" s="24"/>
      <c r="C182" s="40" t="s">
        <v>4535</v>
      </c>
      <c r="D182" s="24"/>
      <c r="E182" s="25"/>
      <c r="F182" s="24"/>
      <c r="G182" s="5"/>
    </row>
    <row r="183" spans="1:7">
      <c r="A183" s="24"/>
      <c r="B183" s="24"/>
      <c r="C183" s="29" t="s">
        <v>1586</v>
      </c>
      <c r="D183" s="24"/>
      <c r="E183" s="25"/>
      <c r="F183" s="24"/>
      <c r="G183" s="5"/>
    </row>
    <row r="184" spans="1:7">
      <c r="A184" s="24"/>
      <c r="B184" s="24"/>
      <c r="C184" s="116" t="s">
        <v>4536</v>
      </c>
      <c r="D184" s="26"/>
      <c r="E184" s="41"/>
      <c r="F184" s="24"/>
      <c r="G184" s="5"/>
    </row>
    <row r="185" spans="1:7">
      <c r="A185" s="24"/>
      <c r="B185" s="24"/>
      <c r="C185" s="28" t="s">
        <v>4537</v>
      </c>
      <c r="D185" s="26"/>
      <c r="E185" s="41"/>
      <c r="F185" s="24"/>
      <c r="G185" s="5"/>
    </row>
    <row r="186" spans="1:7">
      <c r="A186" s="24"/>
      <c r="B186" s="24"/>
      <c r="C186" s="28" t="s">
        <v>4538</v>
      </c>
      <c r="G186" s="5"/>
    </row>
    <row r="187" spans="1:7">
      <c r="A187" s="24"/>
      <c r="B187" s="24"/>
      <c r="C187" s="28" t="s">
        <v>4552</v>
      </c>
      <c r="D187" s="26" t="s">
        <v>2055</v>
      </c>
      <c r="E187" s="42">
        <f>2*2*3*0.15*0.15</f>
        <v>0.27</v>
      </c>
      <c r="F187" s="24" t="s">
        <v>2151</v>
      </c>
      <c r="G187" s="5"/>
    </row>
    <row r="188" spans="1:7" ht="39" customHeight="1">
      <c r="A188" s="24"/>
      <c r="B188" s="24"/>
      <c r="C188" s="28" t="s">
        <v>4539</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4553</v>
      </c>
      <c r="D191" s="24"/>
      <c r="E191" s="35"/>
      <c r="F191" s="34"/>
      <c r="G191" s="5"/>
    </row>
    <row r="192" spans="1:7" ht="27.75" customHeight="1">
      <c r="A192" s="24"/>
      <c r="B192" s="24"/>
      <c r="C192" s="28" t="s">
        <v>4540</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4541</v>
      </c>
      <c r="D194" s="7">
        <f>3*1*1.8*0.15*0.05</f>
        <v>4.0500000000000001E-2</v>
      </c>
      <c r="E194" s="24">
        <v>106376</v>
      </c>
      <c r="F194" s="25" t="s">
        <v>869</v>
      </c>
      <c r="G194" s="24">
        <f>E194*A194</f>
        <v>12850.22</v>
      </c>
    </row>
    <row r="195" spans="1:8" ht="39" customHeight="1">
      <c r="A195" s="33"/>
      <c r="B195" s="24"/>
      <c r="C195" s="24" t="s">
        <v>4542</v>
      </c>
      <c r="D195" s="33">
        <f>6*1*0.1*0.05*2.15</f>
        <v>6.4500000000000002E-2</v>
      </c>
      <c r="E195" s="25"/>
      <c r="F195" s="24"/>
      <c r="G195" s="5"/>
    </row>
    <row r="196" spans="1:8" ht="39" customHeight="1">
      <c r="A196" s="33"/>
      <c r="B196" s="24"/>
      <c r="C196" s="24" t="s">
        <v>4543</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4555</v>
      </c>
      <c r="D198" s="6">
        <f>8*1*0.815*0.35*0.01875</f>
        <v>4.2790000000000002E-2</v>
      </c>
      <c r="E198" s="24">
        <v>101921</v>
      </c>
      <c r="F198" s="25" t="s">
        <v>869</v>
      </c>
      <c r="G198" s="24">
        <f>E198*A198</f>
        <v>4685.3100000000004</v>
      </c>
      <c r="H198" s="5"/>
    </row>
    <row r="199" spans="1:8" ht="30.75">
      <c r="A199" s="32">
        <f>D199</f>
        <v>3.98</v>
      </c>
      <c r="B199" s="24" t="s">
        <v>869</v>
      </c>
      <c r="C199" s="31" t="s">
        <v>4554</v>
      </c>
      <c r="D199">
        <f>1.85*2.15</f>
        <v>3.98</v>
      </c>
      <c r="E199" s="24">
        <f>Data!AE30</f>
        <v>1537</v>
      </c>
      <c r="F199" s="25" t="s">
        <v>2283</v>
      </c>
      <c r="G199" s="24">
        <f>E199*A199</f>
        <v>6117.26</v>
      </c>
      <c r="H199" s="5"/>
    </row>
    <row r="200" spans="1:8">
      <c r="A200" s="32">
        <f>D200</f>
        <v>17.399999999999999</v>
      </c>
      <c r="B200" s="24" t="s">
        <v>1771</v>
      </c>
      <c r="C200" s="31" t="s">
        <v>4556</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4557</v>
      </c>
      <c r="E202" s="24"/>
      <c r="F202" s="25"/>
      <c r="G202" s="24"/>
      <c r="H202" s="5"/>
    </row>
    <row r="203" spans="1:8" ht="37.5" customHeight="1">
      <c r="A203" s="33">
        <f>D205</f>
        <v>1.26</v>
      </c>
      <c r="B203" s="24" t="s">
        <v>609</v>
      </c>
      <c r="C203" s="31" t="s">
        <v>4560</v>
      </c>
      <c r="D203">
        <f>2*1*0.35*1.4</f>
        <v>0.98</v>
      </c>
      <c r="E203" s="24">
        <v>336</v>
      </c>
      <c r="F203" s="25" t="s">
        <v>609</v>
      </c>
      <c r="G203" s="24">
        <f>E203*A203</f>
        <v>423.36</v>
      </c>
      <c r="H203" s="5"/>
    </row>
    <row r="204" spans="1:8" ht="37.5" customHeight="1">
      <c r="A204" s="33"/>
      <c r="B204" s="24"/>
      <c r="C204" s="31" t="s">
        <v>4558</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4561</v>
      </c>
      <c r="D206">
        <v>9.8000000000000007</v>
      </c>
      <c r="E206" s="24">
        <v>59</v>
      </c>
      <c r="F206" s="25" t="s">
        <v>826</v>
      </c>
      <c r="G206" s="24">
        <f t="shared" ref="G206:G214" si="9">E206*A206</f>
        <v>578.20000000000005</v>
      </c>
      <c r="H206" s="5"/>
    </row>
    <row r="207" spans="1:8" ht="47.25">
      <c r="A207" s="33">
        <f>D207</f>
        <v>1.51</v>
      </c>
      <c r="B207" s="24" t="s">
        <v>609</v>
      </c>
      <c r="C207" s="118" t="s">
        <v>4544</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4545</v>
      </c>
      <c r="E209" s="24">
        <f>Data!P2646</f>
        <v>214.1</v>
      </c>
      <c r="F209" s="25" t="s">
        <v>868</v>
      </c>
      <c r="G209" s="24">
        <f t="shared" si="9"/>
        <v>1712.8</v>
      </c>
      <c r="H209" s="5"/>
    </row>
    <row r="210" spans="1:8">
      <c r="A210" s="24">
        <v>3</v>
      </c>
      <c r="B210" s="24" t="s">
        <v>868</v>
      </c>
      <c r="C210" s="28" t="s">
        <v>4546</v>
      </c>
      <c r="E210" s="24">
        <f>Data!P2647</f>
        <v>408</v>
      </c>
      <c r="F210" s="25" t="s">
        <v>868</v>
      </c>
      <c r="G210" s="24">
        <f t="shared" si="9"/>
        <v>1224</v>
      </c>
      <c r="H210" s="5"/>
    </row>
    <row r="211" spans="1:8">
      <c r="A211" s="24">
        <v>1</v>
      </c>
      <c r="B211" s="24" t="s">
        <v>868</v>
      </c>
      <c r="C211" s="28" t="s">
        <v>4547</v>
      </c>
      <c r="E211" s="114">
        <v>320</v>
      </c>
      <c r="F211" s="25" t="s">
        <v>868</v>
      </c>
      <c r="G211" s="24">
        <f t="shared" si="9"/>
        <v>320</v>
      </c>
      <c r="H211" s="5"/>
    </row>
    <row r="212" spans="1:8">
      <c r="A212" s="24">
        <v>2</v>
      </c>
      <c r="B212" s="24" t="s">
        <v>868</v>
      </c>
      <c r="C212" s="28" t="s">
        <v>4548</v>
      </c>
      <c r="E212" s="24">
        <v>650</v>
      </c>
      <c r="F212" s="25" t="s">
        <v>868</v>
      </c>
      <c r="G212" s="24">
        <f t="shared" si="9"/>
        <v>1300</v>
      </c>
      <c r="H212" s="5"/>
    </row>
    <row r="213" spans="1:8">
      <c r="A213" s="24">
        <v>2</v>
      </c>
      <c r="B213" s="24" t="s">
        <v>868</v>
      </c>
      <c r="C213" s="28" t="s">
        <v>4549</v>
      </c>
      <c r="E213" s="24">
        <v>200</v>
      </c>
      <c r="F213" s="25" t="s">
        <v>868</v>
      </c>
      <c r="G213" s="24">
        <f t="shared" si="9"/>
        <v>400</v>
      </c>
      <c r="H213" s="5"/>
    </row>
    <row r="214" spans="1:8">
      <c r="A214" s="24">
        <v>2</v>
      </c>
      <c r="B214" s="24" t="s">
        <v>868</v>
      </c>
      <c r="C214" s="28" t="s">
        <v>4550</v>
      </c>
      <c r="E214" s="24">
        <v>60</v>
      </c>
      <c r="F214" s="25" t="s">
        <v>868</v>
      </c>
      <c r="G214" s="24">
        <f t="shared" si="9"/>
        <v>120</v>
      </c>
      <c r="H214" s="5"/>
    </row>
    <row r="215" spans="1:8" hidden="1">
      <c r="A215" s="24"/>
      <c r="B215" s="24"/>
      <c r="C215" s="24" t="s">
        <v>4551</v>
      </c>
      <c r="E215" s="25" t="s">
        <v>657</v>
      </c>
      <c r="F215" s="25"/>
      <c r="G215" s="44">
        <v>400</v>
      </c>
      <c r="H215" s="5"/>
    </row>
    <row r="216" spans="1:8">
      <c r="A216" s="24"/>
      <c r="B216" s="24"/>
      <c r="C216" s="24" t="s">
        <v>4559</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985" t="s">
        <v>4106</v>
      </c>
      <c r="B247" s="985"/>
      <c r="C247" s="985"/>
      <c r="D247" s="985"/>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4107</v>
      </c>
      <c r="D250" s="50">
        <v>292</v>
      </c>
      <c r="E250" s="50" t="s">
        <v>913</v>
      </c>
      <c r="F250" s="50">
        <f>D250*A250</f>
        <v>8319.08</v>
      </c>
      <c r="G250" s="50"/>
    </row>
    <row r="251" spans="1:8" ht="16.5">
      <c r="A251" s="87">
        <v>3.82</v>
      </c>
      <c r="B251" s="50" t="s">
        <v>826</v>
      </c>
      <c r="C251" s="59" t="s">
        <v>4040</v>
      </c>
      <c r="D251" s="50">
        <v>36.299999999999997</v>
      </c>
      <c r="E251" s="50" t="s">
        <v>826</v>
      </c>
      <c r="F251" s="50">
        <v>501.66</v>
      </c>
      <c r="G251" s="50"/>
    </row>
    <row r="252" spans="1:8" ht="16.5">
      <c r="A252" s="58">
        <v>1.52</v>
      </c>
      <c r="B252" s="50" t="s">
        <v>233</v>
      </c>
      <c r="C252" s="59" t="s">
        <v>4038</v>
      </c>
      <c r="D252" s="50">
        <v>387.2</v>
      </c>
      <c r="E252" s="50" t="s">
        <v>233</v>
      </c>
      <c r="F252" s="50">
        <f t="shared" ref="F252:F261" si="10">D252*A252</f>
        <v>588.54</v>
      </c>
      <c r="G252" s="50"/>
    </row>
    <row r="253" spans="1:8" ht="16.5">
      <c r="A253" s="58">
        <v>1.52</v>
      </c>
      <c r="B253" s="50" t="s">
        <v>233</v>
      </c>
      <c r="C253" s="59" t="s">
        <v>4039</v>
      </c>
      <c r="D253" s="50">
        <v>695</v>
      </c>
      <c r="E253" s="50" t="s">
        <v>769</v>
      </c>
      <c r="F253" s="50">
        <f t="shared" si="10"/>
        <v>1056.4000000000001</v>
      </c>
      <c r="G253" s="50"/>
    </row>
    <row r="254" spans="1:8" ht="16.5">
      <c r="A254" s="58">
        <v>3</v>
      </c>
      <c r="B254" s="50" t="s">
        <v>222</v>
      </c>
      <c r="C254" s="59" t="s">
        <v>4041</v>
      </c>
      <c r="D254" s="50">
        <v>9</v>
      </c>
      <c r="E254" s="50" t="s">
        <v>222</v>
      </c>
      <c r="F254" s="50">
        <f t="shared" si="10"/>
        <v>27</v>
      </c>
      <c r="G254" s="50"/>
      <c r="H254" s="85"/>
    </row>
    <row r="255" spans="1:8" ht="16.5">
      <c r="A255" s="58">
        <v>4.2</v>
      </c>
      <c r="B255" s="50" t="s">
        <v>1398</v>
      </c>
      <c r="C255" s="59" t="s">
        <v>4108</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4109</v>
      </c>
      <c r="D257" s="11">
        <v>44.4</v>
      </c>
      <c r="E257" s="10" t="s">
        <v>1398</v>
      </c>
      <c r="F257" s="11">
        <f t="shared" si="10"/>
        <v>44.4</v>
      </c>
      <c r="G257" s="50"/>
      <c r="H257" s="85"/>
    </row>
    <row r="258" spans="1:8" ht="16.5">
      <c r="A258" s="11">
        <v>1</v>
      </c>
      <c r="B258" s="11" t="s">
        <v>1873</v>
      </c>
      <c r="C258" s="11" t="s">
        <v>4110</v>
      </c>
      <c r="D258" s="11">
        <v>867.3</v>
      </c>
      <c r="E258" s="10" t="s">
        <v>1398</v>
      </c>
      <c r="F258" s="11">
        <f t="shared" si="10"/>
        <v>867.3</v>
      </c>
      <c r="G258" s="50"/>
      <c r="H258" s="85"/>
    </row>
    <row r="259" spans="1:8" ht="18">
      <c r="A259" s="38">
        <v>45</v>
      </c>
      <c r="B259" s="38" t="s">
        <v>1873</v>
      </c>
      <c r="C259" s="38" t="s">
        <v>4111</v>
      </c>
      <c r="D259" s="38">
        <v>1.65</v>
      </c>
      <c r="E259" s="49" t="s">
        <v>1394</v>
      </c>
      <c r="F259" s="50">
        <f t="shared" si="10"/>
        <v>74.25</v>
      </c>
      <c r="G259" s="50"/>
      <c r="H259" s="85"/>
    </row>
    <row r="260" spans="1:8" ht="18">
      <c r="A260" s="38">
        <v>2</v>
      </c>
      <c r="B260" s="38" t="s">
        <v>1873</v>
      </c>
      <c r="C260" s="38" t="s">
        <v>4112</v>
      </c>
      <c r="D260" s="38">
        <v>76.2</v>
      </c>
      <c r="E260" s="10" t="s">
        <v>1398</v>
      </c>
      <c r="F260" s="50">
        <f t="shared" si="10"/>
        <v>152.4</v>
      </c>
      <c r="G260" s="50"/>
      <c r="H260" s="85"/>
    </row>
    <row r="261" spans="1:8" ht="18">
      <c r="A261" s="38">
        <v>2</v>
      </c>
      <c r="B261" s="38" t="s">
        <v>1873</v>
      </c>
      <c r="C261" s="38" t="s">
        <v>4113</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4114</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4115</v>
      </c>
      <c r="D276" s="85"/>
      <c r="E276" s="85"/>
      <c r="F276" s="85"/>
      <c r="H276" s="85"/>
    </row>
    <row r="277" spans="1:8" ht="16.5">
      <c r="A277" s="985" t="s">
        <v>4118</v>
      </c>
      <c r="B277" s="985"/>
      <c r="C277" s="985"/>
      <c r="D277" s="985"/>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4116</v>
      </c>
      <c r="D280" s="50">
        <v>321</v>
      </c>
      <c r="E280" s="50" t="s">
        <v>913</v>
      </c>
      <c r="F280" s="50">
        <f>D280*A280</f>
        <v>9328.26</v>
      </c>
    </row>
    <row r="281" spans="1:8" ht="16.5">
      <c r="A281" s="87">
        <v>9.24</v>
      </c>
      <c r="B281" s="50" t="s">
        <v>826</v>
      </c>
      <c r="C281" s="59" t="s">
        <v>4040</v>
      </c>
      <c r="D281" s="50">
        <v>38.799999999999997</v>
      </c>
      <c r="E281" s="50" t="s">
        <v>826</v>
      </c>
      <c r="F281" s="50">
        <f t="shared" ref="F281:F291" si="11">D281*A281</f>
        <v>358.51</v>
      </c>
    </row>
    <row r="282" spans="1:8" ht="16.5">
      <c r="A282" s="58">
        <v>1.49</v>
      </c>
      <c r="B282" s="50" t="s">
        <v>233</v>
      </c>
      <c r="C282" s="59" t="s">
        <v>4038</v>
      </c>
      <c r="D282" s="50">
        <v>394</v>
      </c>
      <c r="E282" s="50" t="s">
        <v>233</v>
      </c>
      <c r="F282" s="50">
        <f t="shared" si="11"/>
        <v>587.05999999999995</v>
      </c>
    </row>
    <row r="283" spans="1:8" ht="16.5">
      <c r="A283" s="58">
        <v>0.75</v>
      </c>
      <c r="B283" s="50" t="s">
        <v>233</v>
      </c>
      <c r="C283" s="59" t="s">
        <v>4039</v>
      </c>
      <c r="D283" s="50">
        <v>695</v>
      </c>
      <c r="E283" s="50" t="s">
        <v>769</v>
      </c>
      <c r="F283" s="50">
        <f t="shared" si="11"/>
        <v>521.25</v>
      </c>
    </row>
    <row r="284" spans="1:8" ht="16.5">
      <c r="A284" s="58">
        <v>2</v>
      </c>
      <c r="B284" s="50" t="s">
        <v>222</v>
      </c>
      <c r="C284" s="59" t="s">
        <v>4041</v>
      </c>
      <c r="D284" s="50">
        <v>9</v>
      </c>
      <c r="E284" s="50" t="s">
        <v>222</v>
      </c>
      <c r="F284" s="50">
        <f t="shared" si="11"/>
        <v>18</v>
      </c>
    </row>
    <row r="285" spans="1:8" ht="16.5">
      <c r="A285" s="58">
        <v>7.08</v>
      </c>
      <c r="B285" s="50" t="s">
        <v>1398</v>
      </c>
      <c r="C285" s="59" t="s">
        <v>4108</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4109</v>
      </c>
      <c r="D287" s="11">
        <v>48.9</v>
      </c>
      <c r="E287" s="10" t="s">
        <v>1398</v>
      </c>
      <c r="F287" s="50">
        <f t="shared" si="11"/>
        <v>48.9</v>
      </c>
    </row>
    <row r="288" spans="1:8" ht="16.5">
      <c r="A288" s="11">
        <v>1</v>
      </c>
      <c r="B288" s="11" t="s">
        <v>1873</v>
      </c>
      <c r="C288" s="11" t="s">
        <v>4110</v>
      </c>
      <c r="D288" s="11">
        <v>884</v>
      </c>
      <c r="E288" s="10" t="s">
        <v>1398</v>
      </c>
      <c r="F288" s="50">
        <f t="shared" si="11"/>
        <v>884</v>
      </c>
    </row>
    <row r="289" spans="1:7" ht="18">
      <c r="A289" s="38">
        <v>6</v>
      </c>
      <c r="B289" s="38" t="s">
        <v>1873</v>
      </c>
      <c r="C289" s="38" t="s">
        <v>4117</v>
      </c>
      <c r="D289" s="38">
        <f>D260</f>
        <v>76.2</v>
      </c>
      <c r="E289" s="49" t="s">
        <v>1394</v>
      </c>
      <c r="F289" s="50">
        <f t="shared" si="11"/>
        <v>457.2</v>
      </c>
    </row>
    <row r="290" spans="1:7" ht="18">
      <c r="A290" s="38">
        <v>2</v>
      </c>
      <c r="B290" s="38" t="s">
        <v>1873</v>
      </c>
      <c r="C290" s="38" t="s">
        <v>4112</v>
      </c>
      <c r="D290" s="38">
        <v>108.7</v>
      </c>
      <c r="E290" s="10" t="s">
        <v>1398</v>
      </c>
      <c r="F290" s="50">
        <f t="shared" si="11"/>
        <v>217.4</v>
      </c>
    </row>
    <row r="291" spans="1:7" ht="18">
      <c r="A291" s="38">
        <v>2</v>
      </c>
      <c r="B291" s="38" t="s">
        <v>1873</v>
      </c>
      <c r="C291" s="38" t="s">
        <v>4113</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4208</v>
      </c>
      <c r="D297" s="95"/>
      <c r="E297" s="97"/>
      <c r="F297" s="95"/>
      <c r="G297" s="98"/>
    </row>
    <row r="298" spans="1:7" ht="18.75">
      <c r="A298" s="94">
        <v>3.488</v>
      </c>
      <c r="B298" s="95" t="s">
        <v>913</v>
      </c>
      <c r="C298" s="97" t="s">
        <v>4209</v>
      </c>
      <c r="D298" s="95">
        <f>D132</f>
        <v>325</v>
      </c>
      <c r="E298" s="95" t="s">
        <v>913</v>
      </c>
      <c r="F298" s="95">
        <f t="shared" ref="F298:F307" si="12">D298*A298</f>
        <v>1133.5999999999999</v>
      </c>
      <c r="G298" s="98"/>
    </row>
    <row r="299" spans="1:7" ht="18.75">
      <c r="A299" s="94">
        <v>4.38</v>
      </c>
      <c r="B299" s="95" t="s">
        <v>913</v>
      </c>
      <c r="C299" s="97" t="s">
        <v>4210</v>
      </c>
      <c r="D299" s="95">
        <f>D133</f>
        <v>325</v>
      </c>
      <c r="E299" s="95" t="s">
        <v>913</v>
      </c>
      <c r="F299" s="95">
        <f t="shared" si="12"/>
        <v>1423.5</v>
      </c>
      <c r="G299" s="98"/>
    </row>
    <row r="300" spans="1:7" ht="18.75">
      <c r="A300" s="94">
        <v>1.18</v>
      </c>
      <c r="B300" s="95" t="s">
        <v>913</v>
      </c>
      <c r="C300" s="97" t="s">
        <v>4211</v>
      </c>
      <c r="D300" s="95">
        <f>D134</f>
        <v>325</v>
      </c>
      <c r="E300" s="95" t="s">
        <v>913</v>
      </c>
      <c r="F300" s="95">
        <f t="shared" si="12"/>
        <v>383.5</v>
      </c>
      <c r="G300" s="98"/>
    </row>
    <row r="301" spans="1:7" ht="18.75">
      <c r="A301" s="94">
        <v>0.82</v>
      </c>
      <c r="B301" s="95" t="s">
        <v>913</v>
      </c>
      <c r="C301" s="97" t="s">
        <v>4212</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4213</v>
      </c>
      <c r="D304" s="95">
        <f t="shared" si="13"/>
        <v>350</v>
      </c>
      <c r="E304" s="95" t="s">
        <v>4214</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988" t="s">
        <v>4395</v>
      </c>
      <c r="B315" s="988"/>
      <c r="C315" s="988"/>
      <c r="D315" s="988"/>
      <c r="E315" s="988"/>
      <c r="F315" s="988"/>
      <c r="G315" s="988"/>
      <c r="H315" s="988"/>
    </row>
    <row r="316" spans="1:8">
      <c r="A316" s="988" t="s">
        <v>4396</v>
      </c>
      <c r="B316" s="988"/>
      <c r="C316" s="988"/>
      <c r="D316" s="988"/>
      <c r="E316" s="988"/>
      <c r="F316" s="988"/>
      <c r="G316" s="988"/>
      <c r="H316" s="988"/>
    </row>
    <row r="317" spans="1:8">
      <c r="A317" s="85"/>
      <c r="B317" s="85" t="s">
        <v>4397</v>
      </c>
      <c r="C317" s="85" t="s">
        <v>4398</v>
      </c>
      <c r="D317" s="85"/>
      <c r="E317" s="85"/>
      <c r="F317" s="85"/>
      <c r="G317" s="85"/>
      <c r="H317" s="85"/>
    </row>
    <row r="318" spans="1:8">
      <c r="A318" s="85"/>
      <c r="B318" s="85"/>
      <c r="C318" s="85" t="s">
        <v>4399</v>
      </c>
      <c r="D318" s="85" t="s">
        <v>2055</v>
      </c>
      <c r="E318" s="85" t="s">
        <v>4400</v>
      </c>
      <c r="F318" s="85" t="s">
        <v>2055</v>
      </c>
      <c r="G318" s="20">
        <f>1*1.2*1.558</f>
        <v>1.87</v>
      </c>
      <c r="H318" s="85" t="s">
        <v>1645</v>
      </c>
    </row>
    <row r="319" spans="1:8">
      <c r="A319" s="85"/>
      <c r="B319" s="85" t="s">
        <v>4401</v>
      </c>
      <c r="C319" s="85" t="s">
        <v>4402</v>
      </c>
      <c r="D319" s="85"/>
      <c r="E319" s="85"/>
      <c r="F319" s="85"/>
      <c r="G319" s="85"/>
      <c r="H319" s="85"/>
    </row>
    <row r="320" spans="1:8">
      <c r="A320" s="85"/>
      <c r="B320" s="85"/>
      <c r="C320" s="85" t="s">
        <v>4403</v>
      </c>
      <c r="D320" s="85" t="s">
        <v>2055</v>
      </c>
      <c r="E320" s="85" t="s">
        <v>4404</v>
      </c>
      <c r="F320" s="85" t="s">
        <v>2055</v>
      </c>
      <c r="G320" s="20">
        <f>1*2*1.35*0.695</f>
        <v>1.88</v>
      </c>
      <c r="H320" s="85" t="s">
        <v>1645</v>
      </c>
    </row>
    <row r="321" spans="1:8">
      <c r="A321" s="85"/>
      <c r="B321" s="85" t="s">
        <v>4405</v>
      </c>
      <c r="C321" s="85" t="s">
        <v>4406</v>
      </c>
      <c r="D321" s="85"/>
      <c r="E321" s="85"/>
      <c r="F321" s="85"/>
      <c r="G321" s="20"/>
      <c r="H321" s="85"/>
    </row>
    <row r="322" spans="1:8">
      <c r="A322" s="85"/>
      <c r="B322" s="85"/>
      <c r="C322" s="85" t="s">
        <v>4407</v>
      </c>
      <c r="D322" s="85" t="s">
        <v>2055</v>
      </c>
      <c r="E322" s="85" t="s">
        <v>4408</v>
      </c>
      <c r="F322" s="85" t="s">
        <v>2055</v>
      </c>
      <c r="G322" s="20">
        <f>1*1*1.2*1.088</f>
        <v>1.31</v>
      </c>
      <c r="H322" s="85" t="s">
        <v>1645</v>
      </c>
    </row>
    <row r="323" spans="1:8">
      <c r="A323" s="85"/>
      <c r="B323" s="85" t="s">
        <v>4409</v>
      </c>
      <c r="C323" s="85" t="s">
        <v>4410</v>
      </c>
      <c r="D323" s="85"/>
      <c r="E323" s="85"/>
      <c r="F323" s="85"/>
      <c r="G323" s="20"/>
      <c r="H323" s="85"/>
    </row>
    <row r="324" spans="1:8">
      <c r="A324" s="85"/>
      <c r="B324" s="85"/>
      <c r="C324" s="85" t="s">
        <v>4411</v>
      </c>
      <c r="D324" s="85" t="s">
        <v>2055</v>
      </c>
      <c r="E324" s="85" t="s">
        <v>4412</v>
      </c>
      <c r="F324" s="85" t="s">
        <v>2055</v>
      </c>
      <c r="G324" s="20">
        <f>1*2*1.25*0.605</f>
        <v>1.51</v>
      </c>
      <c r="H324" s="85" t="s">
        <v>1645</v>
      </c>
    </row>
    <row r="325" spans="1:8">
      <c r="A325" s="85"/>
      <c r="B325" s="85" t="s">
        <v>4413</v>
      </c>
      <c r="C325" s="85" t="s">
        <v>4414</v>
      </c>
      <c r="D325" s="85"/>
      <c r="E325" s="85"/>
      <c r="F325" s="85"/>
      <c r="G325" s="20"/>
      <c r="H325" s="85"/>
    </row>
    <row r="326" spans="1:8">
      <c r="A326" s="85"/>
      <c r="B326" s="85"/>
      <c r="C326" s="85" t="s">
        <v>4415</v>
      </c>
      <c r="D326" s="85" t="s">
        <v>2055</v>
      </c>
      <c r="E326" s="85" t="s">
        <v>4416</v>
      </c>
      <c r="F326" s="85" t="s">
        <v>2055</v>
      </c>
      <c r="G326" s="20">
        <f>1*2*1.25*0.488</f>
        <v>1.22</v>
      </c>
      <c r="H326" s="85" t="s">
        <v>1645</v>
      </c>
    </row>
    <row r="327" spans="1:8">
      <c r="A327" s="85"/>
      <c r="B327" s="85" t="s">
        <v>4413</v>
      </c>
      <c r="C327" s="85" t="s">
        <v>4417</v>
      </c>
      <c r="D327" s="85"/>
      <c r="E327" s="85"/>
      <c r="F327" s="85"/>
      <c r="G327" s="20"/>
      <c r="H327" s="85"/>
    </row>
    <row r="328" spans="1:8">
      <c r="A328" s="85"/>
      <c r="B328" s="85"/>
      <c r="C328" s="85" t="s">
        <v>4418</v>
      </c>
      <c r="D328" s="85" t="s">
        <v>2055</v>
      </c>
      <c r="E328" s="85" t="s">
        <v>4419</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4420</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4421</v>
      </c>
      <c r="C333" s="85" t="s">
        <v>4422</v>
      </c>
      <c r="D333" s="85"/>
      <c r="E333" s="85"/>
      <c r="F333" s="85"/>
      <c r="G333" s="85"/>
      <c r="H333" s="85"/>
    </row>
    <row r="334" spans="1:8" ht="17.25">
      <c r="A334" s="85"/>
      <c r="B334" s="85"/>
      <c r="C334" s="85" t="s">
        <v>4423</v>
      </c>
      <c r="D334" s="85" t="s">
        <v>2055</v>
      </c>
      <c r="E334" s="85" t="s">
        <v>4424</v>
      </c>
      <c r="F334" s="85" t="s">
        <v>2055</v>
      </c>
      <c r="G334" s="85">
        <f>1*2*0.55*1.25</f>
        <v>1.375</v>
      </c>
      <c r="H334" s="85" t="s">
        <v>4425</v>
      </c>
    </row>
    <row r="335" spans="1:8">
      <c r="A335" s="85"/>
      <c r="B335" s="85"/>
      <c r="C335" s="85"/>
      <c r="D335" s="85"/>
      <c r="E335" s="85"/>
      <c r="F335" s="85"/>
      <c r="G335" s="85"/>
      <c r="H335" s="85"/>
    </row>
    <row r="336" spans="1:8">
      <c r="A336" s="85"/>
      <c r="B336" s="106" t="s">
        <v>4426</v>
      </c>
      <c r="C336" s="85" t="s">
        <v>3917</v>
      </c>
      <c r="D336" s="85" t="s">
        <v>2055</v>
      </c>
      <c r="E336" s="85" t="s">
        <v>4427</v>
      </c>
      <c r="F336" s="85" t="s">
        <v>2055</v>
      </c>
      <c r="G336" s="85">
        <f>1*2*2*3.6</f>
        <v>14.4</v>
      </c>
      <c r="H336" s="85" t="s">
        <v>826</v>
      </c>
    </row>
    <row r="337" spans="1:8">
      <c r="A337" s="85"/>
      <c r="B337" s="85"/>
      <c r="C337" s="85"/>
      <c r="D337" s="85"/>
      <c r="E337" s="85"/>
      <c r="F337" s="85"/>
      <c r="G337" s="85"/>
      <c r="H337" s="85"/>
    </row>
    <row r="338" spans="1:8" ht="17.25">
      <c r="A338" s="85"/>
      <c r="B338" s="106" t="s">
        <v>4428</v>
      </c>
      <c r="C338" s="85" t="s">
        <v>4429</v>
      </c>
      <c r="D338" s="85" t="s">
        <v>2055</v>
      </c>
      <c r="E338" s="85" t="s">
        <v>4430</v>
      </c>
      <c r="F338" s="85" t="s">
        <v>2055</v>
      </c>
      <c r="G338" s="85">
        <f>1.2*1.35</f>
        <v>1.62</v>
      </c>
      <c r="H338" s="85" t="s">
        <v>4425</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4431</v>
      </c>
      <c r="E342">
        <v>287</v>
      </c>
      <c r="F342" t="s">
        <v>913</v>
      </c>
      <c r="G342">
        <f t="shared" ref="G342:G347" si="14">E342*A342</f>
        <v>2706.41</v>
      </c>
      <c r="H342" s="85"/>
    </row>
    <row r="343" spans="1:8">
      <c r="A343" s="7">
        <f>G334</f>
        <v>1.375</v>
      </c>
      <c r="B343" t="s">
        <v>233</v>
      </c>
      <c r="C343" s="1" t="s">
        <v>4432</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4433</v>
      </c>
      <c r="E345">
        <v>59.4</v>
      </c>
      <c r="F345" t="s">
        <v>769</v>
      </c>
      <c r="G345">
        <f t="shared" si="14"/>
        <v>59.4</v>
      </c>
      <c r="H345" s="85"/>
    </row>
    <row r="346" spans="1:8">
      <c r="A346" s="7">
        <v>1</v>
      </c>
      <c r="B346" t="s">
        <v>769</v>
      </c>
      <c r="C346" s="1" t="s">
        <v>4434</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4435</v>
      </c>
      <c r="G349">
        <f>SUM(G342:G348)</f>
        <v>5431.91</v>
      </c>
      <c r="H349" s="85"/>
    </row>
    <row r="350" spans="1:8">
      <c r="C350" s="107" t="s">
        <v>4436</v>
      </c>
      <c r="D350" s="91" t="s">
        <v>2055</v>
      </c>
      <c r="E350" s="91"/>
      <c r="F350" s="11"/>
      <c r="G350" s="89">
        <f>G349/A347</f>
        <v>3353.03</v>
      </c>
      <c r="H350" s="85"/>
    </row>
    <row r="351" spans="1:8">
      <c r="A351" s="85"/>
      <c r="B351" s="85"/>
      <c r="C351" s="85"/>
      <c r="D351" s="85"/>
      <c r="E351" s="85"/>
      <c r="F351" s="85"/>
      <c r="G351" s="85"/>
      <c r="H351" s="85"/>
    </row>
    <row r="352" spans="1:8">
      <c r="A352" s="85"/>
      <c r="B352" s="85"/>
      <c r="C352" s="88" t="s">
        <v>4437</v>
      </c>
      <c r="D352" s="85"/>
      <c r="E352" s="85"/>
      <c r="F352" s="85"/>
      <c r="G352" s="85"/>
      <c r="H352" s="85"/>
    </row>
    <row r="353" spans="1:8">
      <c r="A353">
        <v>1</v>
      </c>
      <c r="B353" t="s">
        <v>868</v>
      </c>
      <c r="C353" s="1" t="s">
        <v>4438</v>
      </c>
      <c r="E353">
        <v>501</v>
      </c>
      <c r="F353" s="1" t="s">
        <v>868</v>
      </c>
      <c r="G353" s="85">
        <f>E353*A353</f>
        <v>501</v>
      </c>
      <c r="H353" s="85"/>
    </row>
    <row r="354" spans="1:8">
      <c r="A354">
        <v>1</v>
      </c>
      <c r="B354" t="s">
        <v>868</v>
      </c>
      <c r="C354" s="1" t="s">
        <v>4439</v>
      </c>
      <c r="E354">
        <v>355</v>
      </c>
      <c r="F354" s="1" t="s">
        <v>868</v>
      </c>
      <c r="G354" s="85">
        <f>E354*A354</f>
        <v>355</v>
      </c>
      <c r="H354" s="85"/>
    </row>
    <row r="355" spans="1:8">
      <c r="A355">
        <v>0.5</v>
      </c>
      <c r="B355" t="s">
        <v>868</v>
      </c>
      <c r="C355" s="1" t="s">
        <v>4440</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988" t="s">
        <v>4441</v>
      </c>
      <c r="B361" s="988"/>
      <c r="C361" s="988"/>
      <c r="D361" s="988"/>
      <c r="E361" s="988"/>
      <c r="F361" s="988"/>
      <c r="G361" s="988"/>
      <c r="H361" s="988"/>
    </row>
    <row r="362" spans="1:8">
      <c r="A362" s="85"/>
      <c r="B362" s="85" t="s">
        <v>4397</v>
      </c>
      <c r="C362" s="85" t="s">
        <v>4398</v>
      </c>
      <c r="D362" s="85"/>
      <c r="E362" s="85"/>
      <c r="F362" s="85"/>
      <c r="G362" s="85"/>
      <c r="H362" s="85"/>
    </row>
    <row r="363" spans="1:8">
      <c r="A363" s="85"/>
      <c r="B363" s="85"/>
      <c r="C363" s="85" t="s">
        <v>4399</v>
      </c>
      <c r="D363" s="85" t="s">
        <v>2055</v>
      </c>
      <c r="E363" s="85" t="s">
        <v>4442</v>
      </c>
      <c r="F363" s="85" t="s">
        <v>2055</v>
      </c>
      <c r="G363" s="20">
        <f>1*2*2.4*1.558</f>
        <v>7.48</v>
      </c>
      <c r="H363" s="85" t="s">
        <v>1645</v>
      </c>
    </row>
    <row r="364" spans="1:8">
      <c r="A364" s="85"/>
      <c r="B364" s="85" t="s">
        <v>4401</v>
      </c>
      <c r="C364" s="85" t="s">
        <v>4402</v>
      </c>
      <c r="D364" s="85"/>
      <c r="E364" s="85"/>
      <c r="F364" s="85"/>
      <c r="G364" s="20"/>
      <c r="H364" s="85"/>
    </row>
    <row r="365" spans="1:8">
      <c r="A365" s="85"/>
      <c r="B365" s="85"/>
      <c r="C365" s="85" t="s">
        <v>4403</v>
      </c>
      <c r="D365" s="85" t="s">
        <v>2055</v>
      </c>
      <c r="E365" s="85" t="s">
        <v>4443</v>
      </c>
      <c r="F365" s="85" t="s">
        <v>2055</v>
      </c>
      <c r="G365" s="20">
        <f>1*4*1.05*0.695</f>
        <v>2.92</v>
      </c>
      <c r="H365" s="85" t="s">
        <v>1645</v>
      </c>
    </row>
    <row r="366" spans="1:8">
      <c r="A366" s="85"/>
      <c r="B366" s="85" t="s">
        <v>4405</v>
      </c>
      <c r="C366" s="85" t="s">
        <v>4406</v>
      </c>
      <c r="D366" s="85"/>
      <c r="E366" s="85"/>
      <c r="F366" s="85"/>
      <c r="G366" s="20"/>
      <c r="H366" s="85"/>
    </row>
    <row r="367" spans="1:8">
      <c r="A367" s="85"/>
      <c r="B367" s="85"/>
      <c r="C367" s="85" t="s">
        <v>4407</v>
      </c>
      <c r="D367" s="85" t="s">
        <v>2055</v>
      </c>
      <c r="E367" s="85" t="s">
        <v>4444</v>
      </c>
      <c r="F367" s="85" t="s">
        <v>2055</v>
      </c>
      <c r="G367" s="20">
        <f>1*1*2.4*1.088</f>
        <v>2.61</v>
      </c>
      <c r="H367" s="85" t="s">
        <v>1645</v>
      </c>
    </row>
    <row r="368" spans="1:8">
      <c r="A368" s="85"/>
      <c r="B368" s="85" t="s">
        <v>4409</v>
      </c>
      <c r="C368" s="85" t="s">
        <v>4410</v>
      </c>
      <c r="D368" s="85"/>
      <c r="E368" s="85"/>
      <c r="F368" s="85"/>
      <c r="G368" s="20"/>
      <c r="H368" s="85"/>
    </row>
    <row r="369" spans="1:8">
      <c r="A369" s="85"/>
      <c r="B369" s="85"/>
      <c r="C369" s="85" t="s">
        <v>4411</v>
      </c>
      <c r="D369" s="85" t="s">
        <v>2055</v>
      </c>
      <c r="E369" s="85" t="s">
        <v>4445</v>
      </c>
      <c r="F369" s="85" t="s">
        <v>2055</v>
      </c>
      <c r="G369" s="20">
        <f>1*4*0.95*0.605</f>
        <v>2.2999999999999998</v>
      </c>
      <c r="H369" s="85" t="s">
        <v>1645</v>
      </c>
    </row>
    <row r="370" spans="1:8">
      <c r="A370" s="85"/>
      <c r="B370" s="85" t="s">
        <v>4413</v>
      </c>
      <c r="C370" s="85" t="s">
        <v>4414</v>
      </c>
      <c r="D370" s="85"/>
      <c r="E370" s="85"/>
      <c r="F370" s="85"/>
      <c r="G370" s="20"/>
      <c r="H370" s="85"/>
    </row>
    <row r="371" spans="1:8">
      <c r="A371" s="85"/>
      <c r="B371" s="85"/>
      <c r="C371" s="85" t="s">
        <v>4415</v>
      </c>
      <c r="D371" s="85" t="s">
        <v>2055</v>
      </c>
      <c r="E371" s="85" t="s">
        <v>4446</v>
      </c>
      <c r="F371" s="85" t="s">
        <v>2055</v>
      </c>
      <c r="G371" s="20">
        <f>1*4*0.95*0.488</f>
        <v>1.85</v>
      </c>
      <c r="H371" s="85" t="s">
        <v>1645</v>
      </c>
    </row>
    <row r="372" spans="1:8">
      <c r="A372" s="85"/>
      <c r="B372" s="85" t="s">
        <v>4413</v>
      </c>
      <c r="C372" s="85" t="s">
        <v>4417</v>
      </c>
      <c r="D372" s="85"/>
      <c r="E372" s="85"/>
      <c r="F372" s="85"/>
      <c r="G372" s="20"/>
      <c r="H372" s="85"/>
    </row>
    <row r="373" spans="1:8">
      <c r="A373" s="85"/>
      <c r="B373" s="85"/>
      <c r="C373" s="85" t="s">
        <v>4418</v>
      </c>
      <c r="D373" s="85" t="s">
        <v>2055</v>
      </c>
      <c r="E373" s="85" t="s">
        <v>4447</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4420</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4421</v>
      </c>
      <c r="C378" s="85" t="s">
        <v>4422</v>
      </c>
      <c r="D378" s="85"/>
      <c r="E378" s="85"/>
      <c r="F378" s="85"/>
      <c r="G378" s="20"/>
      <c r="H378" s="85"/>
    </row>
    <row r="379" spans="1:8" ht="17.25">
      <c r="A379" s="85"/>
      <c r="B379" s="85"/>
      <c r="C379" s="85" t="s">
        <v>4423</v>
      </c>
      <c r="D379" s="85" t="s">
        <v>2055</v>
      </c>
      <c r="E379" s="85" t="s">
        <v>4448</v>
      </c>
      <c r="F379" s="85" t="s">
        <v>2055</v>
      </c>
      <c r="G379" s="109">
        <f>1*4*0.55*0.95</f>
        <v>2.09</v>
      </c>
      <c r="H379" s="85" t="s">
        <v>4425</v>
      </c>
    </row>
    <row r="380" spans="1:8">
      <c r="A380" s="85"/>
      <c r="B380" s="85"/>
      <c r="C380" s="85"/>
      <c r="D380" s="85"/>
      <c r="E380" s="85"/>
      <c r="F380" s="85"/>
      <c r="G380" s="20"/>
      <c r="H380" s="85"/>
    </row>
    <row r="381" spans="1:8">
      <c r="A381" s="85"/>
      <c r="B381" s="106" t="s">
        <v>4426</v>
      </c>
      <c r="C381" s="85" t="s">
        <v>3917</v>
      </c>
      <c r="D381" s="85" t="s">
        <v>2055</v>
      </c>
      <c r="E381" s="85" t="s">
        <v>4449</v>
      </c>
      <c r="F381" s="85" t="s">
        <v>2055</v>
      </c>
      <c r="G381" s="20">
        <f>1*2*4*3.3</f>
        <v>26.4</v>
      </c>
      <c r="H381" s="85" t="s">
        <v>826</v>
      </c>
    </row>
    <row r="382" spans="1:8">
      <c r="A382" s="85"/>
      <c r="B382" s="85"/>
      <c r="C382" s="85"/>
      <c r="D382" s="85"/>
      <c r="E382" s="85"/>
      <c r="F382" s="85"/>
      <c r="G382" s="20"/>
      <c r="H382" s="85"/>
    </row>
    <row r="383" spans="1:8" ht="17.25">
      <c r="A383" s="85"/>
      <c r="B383" s="106" t="s">
        <v>4428</v>
      </c>
      <c r="C383" s="85" t="s">
        <v>4429</v>
      </c>
      <c r="D383" s="85" t="s">
        <v>2055</v>
      </c>
      <c r="E383" s="85" t="s">
        <v>4450</v>
      </c>
      <c r="F383" s="85" t="s">
        <v>2055</v>
      </c>
      <c r="G383" s="20">
        <f>2.4*1.05</f>
        <v>2.52</v>
      </c>
      <c r="H383" s="85" t="s">
        <v>4425</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4431</v>
      </c>
      <c r="E387">
        <v>287</v>
      </c>
      <c r="F387" t="s">
        <v>913</v>
      </c>
      <c r="G387">
        <f t="shared" ref="G387:G392" si="15">E387*A387</f>
        <v>5909.33</v>
      </c>
      <c r="H387" s="85"/>
    </row>
    <row r="388" spans="1:8">
      <c r="A388" s="7">
        <v>2.09</v>
      </c>
      <c r="B388" t="s">
        <v>233</v>
      </c>
      <c r="C388" s="1" t="s">
        <v>4432</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4433</v>
      </c>
      <c r="E390">
        <v>59.4</v>
      </c>
      <c r="F390" t="s">
        <v>769</v>
      </c>
      <c r="G390">
        <f t="shared" si="15"/>
        <v>59.4</v>
      </c>
      <c r="H390" s="85"/>
    </row>
    <row r="391" spans="1:8">
      <c r="A391" s="7">
        <v>1</v>
      </c>
      <c r="B391" t="s">
        <v>769</v>
      </c>
      <c r="C391" s="1" t="s">
        <v>4434</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4436</v>
      </c>
      <c r="D395" s="91" t="s">
        <v>2055</v>
      </c>
      <c r="E395" s="91"/>
      <c r="F395" s="11"/>
      <c r="G395" s="89">
        <f>G394/A392</f>
        <v>4048</v>
      </c>
      <c r="H395" s="85"/>
    </row>
    <row r="396" spans="1:8">
      <c r="A396" s="85"/>
      <c r="B396" s="85"/>
      <c r="C396" s="85"/>
      <c r="D396" s="85"/>
      <c r="E396" s="85"/>
      <c r="F396" s="85"/>
      <c r="G396" s="85"/>
      <c r="H396" s="85"/>
    </row>
    <row r="397" spans="1:8">
      <c r="A397" s="85"/>
      <c r="B397" s="85"/>
      <c r="C397" s="88" t="s">
        <v>4437</v>
      </c>
      <c r="D397" s="85"/>
      <c r="E397" s="85"/>
      <c r="F397" s="85"/>
      <c r="G397" s="85"/>
      <c r="H397" s="85"/>
    </row>
    <row r="398" spans="1:8">
      <c r="A398">
        <v>1</v>
      </c>
      <c r="B398" t="s">
        <v>868</v>
      </c>
      <c r="C398" s="1" t="s">
        <v>4438</v>
      </c>
      <c r="E398">
        <v>501</v>
      </c>
      <c r="F398" s="1" t="s">
        <v>868</v>
      </c>
      <c r="G398" s="20">
        <f>E398*A398</f>
        <v>501</v>
      </c>
      <c r="H398" s="85"/>
    </row>
    <row r="399" spans="1:8">
      <c r="A399">
        <v>1</v>
      </c>
      <c r="B399" t="s">
        <v>868</v>
      </c>
      <c r="C399" s="1" t="s">
        <v>4439</v>
      </c>
      <c r="E399">
        <v>355</v>
      </c>
      <c r="F399" s="1" t="s">
        <v>868</v>
      </c>
      <c r="G399" s="20">
        <f>E399*A399</f>
        <v>355</v>
      </c>
      <c r="H399" s="85"/>
    </row>
    <row r="400" spans="1:8">
      <c r="A400">
        <v>0.5</v>
      </c>
      <c r="B400" t="s">
        <v>868</v>
      </c>
      <c r="C400" s="1" t="s">
        <v>4440</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988" t="s">
        <v>4451</v>
      </c>
      <c r="B406" s="988"/>
      <c r="C406" s="988"/>
      <c r="D406" s="988"/>
      <c r="E406" s="988"/>
      <c r="F406" s="988"/>
      <c r="G406" s="988"/>
      <c r="H406" s="988"/>
    </row>
    <row r="407" spans="1:8">
      <c r="A407" s="85"/>
      <c r="B407" s="85" t="s">
        <v>4397</v>
      </c>
      <c r="C407" s="85" t="s">
        <v>4398</v>
      </c>
      <c r="D407" s="85"/>
      <c r="E407" s="85"/>
      <c r="F407" s="85"/>
      <c r="G407" s="85"/>
      <c r="H407" s="85"/>
    </row>
    <row r="408" spans="1:8">
      <c r="A408" s="85"/>
      <c r="B408" s="85"/>
      <c r="C408" s="85" t="s">
        <v>4399</v>
      </c>
      <c r="D408" s="85" t="s">
        <v>2055</v>
      </c>
      <c r="E408" s="85" t="s">
        <v>4452</v>
      </c>
      <c r="F408" s="85" t="s">
        <v>2055</v>
      </c>
      <c r="G408" s="20">
        <f>1*1*0.9*1.558</f>
        <v>1.4</v>
      </c>
      <c r="H408" s="85" t="s">
        <v>1645</v>
      </c>
    </row>
    <row r="409" spans="1:8">
      <c r="A409" s="85"/>
      <c r="B409" s="85" t="s">
        <v>4401</v>
      </c>
      <c r="C409" s="85" t="s">
        <v>4402</v>
      </c>
      <c r="D409" s="85"/>
      <c r="E409" s="85"/>
      <c r="F409" s="85"/>
      <c r="G409" s="85"/>
      <c r="H409" s="85"/>
    </row>
    <row r="410" spans="1:8">
      <c r="A410" s="85"/>
      <c r="B410" s="85"/>
      <c r="C410" s="85" t="s">
        <v>4403</v>
      </c>
      <c r="D410" s="85" t="s">
        <v>2055</v>
      </c>
      <c r="E410" s="85" t="s">
        <v>4404</v>
      </c>
      <c r="F410" s="85" t="s">
        <v>2055</v>
      </c>
      <c r="G410" s="20">
        <f>1*2*1.35*0.695</f>
        <v>1.88</v>
      </c>
      <c r="H410" s="85" t="s">
        <v>1645</v>
      </c>
    </row>
    <row r="411" spans="1:8">
      <c r="A411" s="85"/>
      <c r="B411" s="85" t="s">
        <v>4405</v>
      </c>
      <c r="C411" s="85" t="s">
        <v>4406</v>
      </c>
      <c r="D411" s="85"/>
      <c r="E411" s="85"/>
      <c r="F411" s="85"/>
      <c r="G411" s="20"/>
      <c r="H411" s="85"/>
    </row>
    <row r="412" spans="1:8">
      <c r="A412" s="85"/>
      <c r="B412" s="85"/>
      <c r="C412" s="85" t="s">
        <v>4407</v>
      </c>
      <c r="D412" s="85" t="s">
        <v>2055</v>
      </c>
      <c r="E412" s="85" t="s">
        <v>4453</v>
      </c>
      <c r="F412" s="85" t="s">
        <v>2055</v>
      </c>
      <c r="G412" s="20">
        <f>1*1*0.9*1.088</f>
        <v>0.98</v>
      </c>
      <c r="H412" s="85" t="s">
        <v>1645</v>
      </c>
    </row>
    <row r="413" spans="1:8">
      <c r="A413" s="85"/>
      <c r="B413" s="85" t="s">
        <v>4409</v>
      </c>
      <c r="C413" s="85" t="s">
        <v>4410</v>
      </c>
      <c r="D413" s="85"/>
      <c r="E413" s="85"/>
      <c r="F413" s="85"/>
      <c r="G413" s="20"/>
      <c r="H413" s="85"/>
    </row>
    <row r="414" spans="1:8">
      <c r="A414" s="85"/>
      <c r="B414" s="85"/>
      <c r="C414" s="85" t="s">
        <v>4411</v>
      </c>
      <c r="D414" s="85" t="s">
        <v>2055</v>
      </c>
      <c r="E414" s="85" t="s">
        <v>4412</v>
      </c>
      <c r="F414" s="85" t="s">
        <v>2055</v>
      </c>
      <c r="G414" s="20">
        <f>1*2*1.25*0.605</f>
        <v>1.51</v>
      </c>
      <c r="H414" s="85" t="s">
        <v>1645</v>
      </c>
    </row>
    <row r="415" spans="1:8">
      <c r="A415" s="85"/>
      <c r="B415" s="85" t="s">
        <v>4413</v>
      </c>
      <c r="C415" s="85" t="s">
        <v>4414</v>
      </c>
      <c r="D415" s="85"/>
      <c r="E415" s="85"/>
      <c r="F415" s="85"/>
      <c r="G415" s="20"/>
      <c r="H415" s="85"/>
    </row>
    <row r="416" spans="1:8">
      <c r="A416" s="85"/>
      <c r="B416" s="85"/>
      <c r="C416" s="85" t="s">
        <v>4415</v>
      </c>
      <c r="D416" s="85" t="s">
        <v>2055</v>
      </c>
      <c r="E416" s="85" t="s">
        <v>4416</v>
      </c>
      <c r="F416" s="85" t="s">
        <v>2055</v>
      </c>
      <c r="G416" s="20">
        <f>1*2*1.25*0.488</f>
        <v>1.22</v>
      </c>
      <c r="H416" s="85" t="s">
        <v>1645</v>
      </c>
    </row>
    <row r="417" spans="1:8">
      <c r="A417" s="85"/>
      <c r="B417" s="85" t="s">
        <v>4413</v>
      </c>
      <c r="C417" s="85" t="s">
        <v>4417</v>
      </c>
      <c r="D417" s="85"/>
      <c r="E417" s="85"/>
      <c r="F417" s="85"/>
      <c r="G417" s="20"/>
      <c r="H417" s="85"/>
    </row>
    <row r="418" spans="1:8">
      <c r="A418" s="85"/>
      <c r="B418" s="85"/>
      <c r="C418" s="85" t="s">
        <v>4418</v>
      </c>
      <c r="D418" s="85" t="s">
        <v>2055</v>
      </c>
      <c r="E418" s="85" t="s">
        <v>4454</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4420</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4421</v>
      </c>
      <c r="C423" s="85" t="s">
        <v>4422</v>
      </c>
      <c r="D423" s="85"/>
      <c r="E423" s="85"/>
      <c r="F423" s="85"/>
      <c r="G423" s="85"/>
      <c r="H423" s="85"/>
    </row>
    <row r="424" spans="1:8" ht="17.25">
      <c r="A424" s="85"/>
      <c r="B424" s="85"/>
      <c r="C424" s="85" t="s">
        <v>4423</v>
      </c>
      <c r="D424" s="85" t="s">
        <v>2055</v>
      </c>
      <c r="E424" s="85" t="s">
        <v>4455</v>
      </c>
      <c r="F424" s="85" t="s">
        <v>2055</v>
      </c>
      <c r="G424" s="109">
        <f>1*2*0.45*1.25</f>
        <v>1.125</v>
      </c>
      <c r="H424" s="85" t="s">
        <v>4425</v>
      </c>
    </row>
    <row r="425" spans="1:8">
      <c r="A425" s="85"/>
      <c r="B425" s="85"/>
      <c r="C425" s="85"/>
      <c r="D425" s="85"/>
      <c r="E425" s="85"/>
      <c r="F425" s="85"/>
      <c r="G425" s="20"/>
      <c r="H425" s="85"/>
    </row>
    <row r="426" spans="1:8">
      <c r="A426" s="85"/>
      <c r="B426" s="106" t="s">
        <v>4426</v>
      </c>
      <c r="C426" s="85" t="s">
        <v>3917</v>
      </c>
      <c r="D426" s="85" t="s">
        <v>2055</v>
      </c>
      <c r="E426" s="85" t="s">
        <v>4456</v>
      </c>
      <c r="F426" s="85" t="s">
        <v>2055</v>
      </c>
      <c r="G426" s="20">
        <f>1*2*2*3.4</f>
        <v>13.6</v>
      </c>
      <c r="H426" s="85" t="s">
        <v>826</v>
      </c>
    </row>
    <row r="427" spans="1:8">
      <c r="A427" s="85"/>
      <c r="B427" s="85"/>
      <c r="C427" s="85"/>
      <c r="D427" s="85"/>
      <c r="E427" s="85"/>
      <c r="F427" s="85"/>
      <c r="G427" s="20"/>
      <c r="H427" s="85"/>
    </row>
    <row r="428" spans="1:8" ht="17.25">
      <c r="A428" s="85"/>
      <c r="B428" s="106" t="s">
        <v>4428</v>
      </c>
      <c r="C428" s="85" t="s">
        <v>4429</v>
      </c>
      <c r="D428" s="85" t="s">
        <v>2055</v>
      </c>
      <c r="E428" s="85" t="s">
        <v>4457</v>
      </c>
      <c r="F428" s="85" t="s">
        <v>2055</v>
      </c>
      <c r="G428" s="20">
        <f>0.9*1.35</f>
        <v>1.22</v>
      </c>
      <c r="H428" s="85" t="s">
        <v>4425</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4431</v>
      </c>
      <c r="E432">
        <v>287</v>
      </c>
      <c r="F432" t="s">
        <v>913</v>
      </c>
      <c r="G432">
        <f t="shared" ref="G432:G437" si="16">E432*A432</f>
        <v>2407.9299999999998</v>
      </c>
      <c r="H432" s="85"/>
    </row>
    <row r="433" spans="1:8">
      <c r="A433" s="7">
        <f>G424</f>
        <v>1.125</v>
      </c>
      <c r="B433" t="s">
        <v>233</v>
      </c>
      <c r="C433" s="1" t="s">
        <v>4432</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4433</v>
      </c>
      <c r="E435">
        <v>59.4</v>
      </c>
      <c r="F435" t="s">
        <v>769</v>
      </c>
      <c r="G435">
        <f t="shared" si="16"/>
        <v>59.4</v>
      </c>
      <c r="H435" s="85"/>
    </row>
    <row r="436" spans="1:8">
      <c r="A436" s="7">
        <v>1</v>
      </c>
      <c r="B436" t="s">
        <v>769</v>
      </c>
      <c r="C436" s="1" t="s">
        <v>4434</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4458</v>
      </c>
      <c r="G439">
        <f>SUM(G432:G438)</f>
        <v>4585.8900000000003</v>
      </c>
      <c r="H439" s="85"/>
    </row>
    <row r="440" spans="1:8">
      <c r="C440" s="107" t="s">
        <v>4436</v>
      </c>
      <c r="D440" s="91" t="s">
        <v>2055</v>
      </c>
      <c r="E440" s="91"/>
      <c r="F440" s="11"/>
      <c r="G440" s="89">
        <f>G439/A437</f>
        <v>3758.93</v>
      </c>
      <c r="H440" s="85"/>
    </row>
    <row r="441" spans="1:8">
      <c r="A441" s="85"/>
      <c r="B441" s="85"/>
      <c r="C441" s="85"/>
      <c r="D441" s="85"/>
      <c r="E441" s="85"/>
      <c r="F441" s="85"/>
      <c r="G441" s="85"/>
      <c r="H441" s="85"/>
    </row>
    <row r="442" spans="1:8">
      <c r="A442" s="85"/>
      <c r="B442" s="85"/>
      <c r="C442" s="88" t="s">
        <v>4437</v>
      </c>
      <c r="D442" s="85"/>
      <c r="E442" s="85"/>
      <c r="F442" s="85"/>
      <c r="G442" s="85"/>
      <c r="H442" s="85"/>
    </row>
    <row r="443" spans="1:8">
      <c r="A443">
        <v>1</v>
      </c>
      <c r="B443" t="s">
        <v>868</v>
      </c>
      <c r="C443" s="1" t="s">
        <v>4438</v>
      </c>
      <c r="E443">
        <v>501</v>
      </c>
      <c r="F443" s="1" t="s">
        <v>868</v>
      </c>
      <c r="G443" s="85">
        <f>E443*A443</f>
        <v>501</v>
      </c>
      <c r="H443" s="85"/>
    </row>
    <row r="444" spans="1:8">
      <c r="A444">
        <v>1</v>
      </c>
      <c r="B444" t="s">
        <v>868</v>
      </c>
      <c r="C444" s="1" t="s">
        <v>4439</v>
      </c>
      <c r="E444">
        <v>355</v>
      </c>
      <c r="F444" s="1" t="s">
        <v>868</v>
      </c>
      <c r="G444" s="85">
        <f>E444*A444</f>
        <v>355</v>
      </c>
      <c r="H444" s="85"/>
    </row>
    <row r="445" spans="1:8">
      <c r="A445">
        <v>0.5</v>
      </c>
      <c r="B445" t="s">
        <v>868</v>
      </c>
      <c r="C445" s="1" t="s">
        <v>4440</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988" t="s">
        <v>4459</v>
      </c>
      <c r="B451" s="988"/>
      <c r="C451" s="988"/>
      <c r="D451" s="988"/>
      <c r="E451" s="988"/>
      <c r="F451" s="988"/>
      <c r="G451" s="988"/>
      <c r="H451" s="988"/>
    </row>
    <row r="452" spans="1:8">
      <c r="A452" s="85"/>
      <c r="B452" s="85" t="s">
        <v>4397</v>
      </c>
      <c r="C452" s="85" t="s">
        <v>4398</v>
      </c>
      <c r="D452" s="85"/>
      <c r="E452" s="85"/>
      <c r="F452" s="85"/>
      <c r="G452" s="85"/>
      <c r="H452" s="85"/>
    </row>
    <row r="453" spans="1:8">
      <c r="A453" s="85"/>
      <c r="B453" s="85"/>
      <c r="C453" s="85" t="s">
        <v>4399</v>
      </c>
      <c r="D453" s="85" t="s">
        <v>2055</v>
      </c>
      <c r="E453" s="85" t="s">
        <v>4442</v>
      </c>
      <c r="F453" s="85" t="s">
        <v>2055</v>
      </c>
      <c r="G453" s="20">
        <f>1*2*2.4*1.558</f>
        <v>7.48</v>
      </c>
      <c r="H453" s="85" t="s">
        <v>1645</v>
      </c>
    </row>
    <row r="454" spans="1:8">
      <c r="A454" s="85"/>
      <c r="B454" s="85" t="s">
        <v>4401</v>
      </c>
      <c r="C454" s="85" t="s">
        <v>4402</v>
      </c>
      <c r="D454" s="85"/>
      <c r="E454" s="85"/>
      <c r="F454" s="85"/>
      <c r="G454" s="85"/>
      <c r="H454" s="85"/>
    </row>
    <row r="455" spans="1:8">
      <c r="A455" s="85"/>
      <c r="B455" s="85"/>
      <c r="C455" s="85" t="s">
        <v>4403</v>
      </c>
      <c r="D455" s="85" t="s">
        <v>2055</v>
      </c>
      <c r="E455" s="85" t="s">
        <v>4460</v>
      </c>
      <c r="F455" s="85" t="s">
        <v>2055</v>
      </c>
      <c r="G455" s="20">
        <f>1*2*1.8*0.695</f>
        <v>2.5</v>
      </c>
      <c r="H455" s="85" t="s">
        <v>1645</v>
      </c>
    </row>
    <row r="456" spans="1:8">
      <c r="A456" s="85"/>
      <c r="B456" s="85" t="s">
        <v>4405</v>
      </c>
      <c r="C456" s="85" t="s">
        <v>4406</v>
      </c>
      <c r="D456" s="85"/>
      <c r="E456" s="85"/>
      <c r="F456" s="85"/>
      <c r="G456" s="20"/>
      <c r="H456" s="85"/>
    </row>
    <row r="457" spans="1:8">
      <c r="A457" s="85"/>
      <c r="B457" s="85"/>
      <c r="C457" s="85" t="s">
        <v>4407</v>
      </c>
      <c r="D457" s="85" t="s">
        <v>2055</v>
      </c>
      <c r="E457" s="85" t="s">
        <v>4444</v>
      </c>
      <c r="F457" s="85" t="s">
        <v>2055</v>
      </c>
      <c r="G457" s="20">
        <f>1*1*2.4*1.088</f>
        <v>2.61</v>
      </c>
      <c r="H457" s="85" t="s">
        <v>1645</v>
      </c>
    </row>
    <row r="458" spans="1:8">
      <c r="A458" s="85"/>
      <c r="B458" s="85" t="s">
        <v>4401</v>
      </c>
      <c r="C458" s="85" t="s">
        <v>4402</v>
      </c>
      <c r="D458" s="85"/>
      <c r="E458" s="85"/>
      <c r="F458" s="85"/>
      <c r="G458" s="85"/>
      <c r="H458" s="85"/>
    </row>
    <row r="459" spans="1:8">
      <c r="A459" s="85"/>
      <c r="B459" s="85"/>
      <c r="C459" s="85" t="s">
        <v>4461</v>
      </c>
      <c r="D459" s="85" t="s">
        <v>2055</v>
      </c>
      <c r="E459" s="85" t="s">
        <v>4462</v>
      </c>
      <c r="F459" s="85" t="s">
        <v>2055</v>
      </c>
      <c r="G459" s="20">
        <f>1*2*1.2*0.695</f>
        <v>1.67</v>
      </c>
      <c r="H459" s="85" t="s">
        <v>1645</v>
      </c>
    </row>
    <row r="460" spans="1:8">
      <c r="A460" s="85"/>
      <c r="B460" s="85" t="s">
        <v>4409</v>
      </c>
      <c r="C460" s="85" t="s">
        <v>4410</v>
      </c>
      <c r="D460" s="85"/>
      <c r="E460" s="85"/>
      <c r="F460" s="85"/>
      <c r="G460" s="20"/>
      <c r="H460" s="85"/>
    </row>
    <row r="461" spans="1:8">
      <c r="A461" s="85"/>
      <c r="B461" s="85"/>
      <c r="C461" s="85" t="s">
        <v>4411</v>
      </c>
      <c r="D461" s="85" t="s">
        <v>2055</v>
      </c>
      <c r="E461" s="85" t="s">
        <v>4463</v>
      </c>
      <c r="F461" s="85" t="s">
        <v>2055</v>
      </c>
      <c r="G461" s="20">
        <f>1*4*1.1*0.605</f>
        <v>2.66</v>
      </c>
      <c r="H461" s="85" t="s">
        <v>1645</v>
      </c>
    </row>
    <row r="462" spans="1:8">
      <c r="A462" s="85"/>
      <c r="B462" s="85" t="s">
        <v>4413</v>
      </c>
      <c r="C462" s="85" t="s">
        <v>4414</v>
      </c>
      <c r="D462" s="85"/>
      <c r="E462" s="85"/>
      <c r="F462" s="85"/>
      <c r="G462" s="20"/>
      <c r="H462" s="85"/>
    </row>
    <row r="463" spans="1:8">
      <c r="A463" s="85"/>
      <c r="B463" s="85"/>
      <c r="C463" s="85" t="s">
        <v>4415</v>
      </c>
      <c r="D463" s="85" t="s">
        <v>2055</v>
      </c>
      <c r="E463" s="85" t="s">
        <v>4464</v>
      </c>
      <c r="F463" s="85" t="s">
        <v>2055</v>
      </c>
      <c r="G463" s="20">
        <f>1*4*1.1*0.488</f>
        <v>2.15</v>
      </c>
      <c r="H463" s="85" t="s">
        <v>1645</v>
      </c>
    </row>
    <row r="464" spans="1:8">
      <c r="A464" s="85"/>
      <c r="B464" s="85" t="s">
        <v>4465</v>
      </c>
      <c r="C464" s="85" t="s">
        <v>4417</v>
      </c>
      <c r="D464" s="85"/>
      <c r="E464" s="85"/>
      <c r="F464" s="85"/>
      <c r="G464" s="20"/>
      <c r="H464" s="85"/>
    </row>
    <row r="465" spans="1:8">
      <c r="A465" s="85"/>
      <c r="B465" s="85"/>
      <c r="C465" s="85" t="s">
        <v>4418</v>
      </c>
      <c r="D465" s="85" t="s">
        <v>2055</v>
      </c>
      <c r="E465" s="85" t="s">
        <v>4447</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4420</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4421</v>
      </c>
      <c r="C470" s="85" t="s">
        <v>4422</v>
      </c>
      <c r="D470" s="85"/>
      <c r="E470" s="85"/>
      <c r="F470" s="85"/>
      <c r="G470" s="85"/>
      <c r="H470" s="85"/>
    </row>
    <row r="471" spans="1:8" ht="17.25">
      <c r="A471" s="85"/>
      <c r="B471" s="85"/>
      <c r="C471" s="85" t="s">
        <v>4423</v>
      </c>
      <c r="D471" s="85" t="s">
        <v>2055</v>
      </c>
      <c r="E471" s="85" t="s">
        <v>4466</v>
      </c>
      <c r="F471" s="85" t="s">
        <v>2055</v>
      </c>
      <c r="G471" s="20">
        <f>1*4*0.55*1.1</f>
        <v>2.42</v>
      </c>
      <c r="H471" s="85" t="s">
        <v>4425</v>
      </c>
    </row>
    <row r="472" spans="1:8" ht="17.25">
      <c r="A472" s="85"/>
      <c r="B472" s="85"/>
      <c r="C472" s="85" t="s">
        <v>4467</v>
      </c>
      <c r="D472" s="85" t="s">
        <v>2055</v>
      </c>
      <c r="E472" s="85" t="s">
        <v>4468</v>
      </c>
      <c r="F472" s="85" t="s">
        <v>2055</v>
      </c>
      <c r="G472" s="20">
        <f>1*1*2.3*0.6</f>
        <v>1.38</v>
      </c>
      <c r="H472" s="85" t="s">
        <v>4425</v>
      </c>
    </row>
    <row r="473" spans="1:8" ht="17.25">
      <c r="A473" s="85"/>
      <c r="B473" s="85"/>
      <c r="C473" s="85"/>
      <c r="D473" s="85"/>
      <c r="E473" s="85"/>
      <c r="F473" s="85"/>
      <c r="G473" s="89">
        <f>SUM(G471:G472)</f>
        <v>3.8</v>
      </c>
      <c r="H473" s="88" t="s">
        <v>4469</v>
      </c>
    </row>
    <row r="474" spans="1:8">
      <c r="A474" s="85"/>
      <c r="B474" s="85"/>
      <c r="C474" s="85"/>
      <c r="D474" s="85"/>
      <c r="E474" s="85"/>
      <c r="F474" s="85"/>
      <c r="G474" s="89"/>
      <c r="H474" s="88"/>
    </row>
    <row r="475" spans="1:8">
      <c r="A475" s="85"/>
      <c r="B475" s="106" t="s">
        <v>4426</v>
      </c>
      <c r="C475" s="85" t="s">
        <v>3917</v>
      </c>
      <c r="D475" s="85" t="s">
        <v>2055</v>
      </c>
      <c r="E475" s="85" t="s">
        <v>4470</v>
      </c>
      <c r="F475" s="85" t="s">
        <v>2055</v>
      </c>
      <c r="G475" s="20">
        <f>1*2*4*3.3</f>
        <v>26.4</v>
      </c>
      <c r="H475" s="85" t="s">
        <v>826</v>
      </c>
    </row>
    <row r="476" spans="1:8">
      <c r="A476" s="85"/>
      <c r="B476" s="106"/>
      <c r="C476" s="85"/>
      <c r="D476" s="85" t="s">
        <v>2055</v>
      </c>
      <c r="E476" s="85" t="s">
        <v>4471</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4428</v>
      </c>
      <c r="C479" s="85" t="s">
        <v>4429</v>
      </c>
      <c r="D479" s="85" t="s">
        <v>2055</v>
      </c>
      <c r="E479" s="85" t="s">
        <v>4472</v>
      </c>
      <c r="F479" s="85" t="s">
        <v>2055</v>
      </c>
      <c r="G479" s="20">
        <f>2.4*1.8</f>
        <v>4.32</v>
      </c>
      <c r="H479" s="85" t="s">
        <v>4425</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4431</v>
      </c>
      <c r="E483">
        <v>287</v>
      </c>
      <c r="F483" t="s">
        <v>913</v>
      </c>
      <c r="G483">
        <f t="shared" ref="G483:G488" si="17">E483*A483</f>
        <v>6512.03</v>
      </c>
      <c r="H483" s="85"/>
    </row>
    <row r="484" spans="1:8">
      <c r="A484" s="7">
        <f>G473</f>
        <v>3.8</v>
      </c>
      <c r="B484" t="s">
        <v>233</v>
      </c>
      <c r="C484" s="1" t="s">
        <v>4432</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4433</v>
      </c>
      <c r="E486">
        <v>59.4</v>
      </c>
      <c r="F486" t="s">
        <v>769</v>
      </c>
      <c r="G486">
        <f t="shared" si="17"/>
        <v>59.4</v>
      </c>
      <c r="H486" s="85"/>
    </row>
    <row r="487" spans="1:8">
      <c r="A487" s="7">
        <v>1</v>
      </c>
      <c r="B487" t="s">
        <v>769</v>
      </c>
      <c r="C487" s="1" t="s">
        <v>4434</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4473</v>
      </c>
      <c r="G490">
        <f>SUM(G483:G489)</f>
        <v>13691.03</v>
      </c>
      <c r="H490" s="85"/>
    </row>
    <row r="491" spans="1:8">
      <c r="C491" s="107" t="s">
        <v>4436</v>
      </c>
      <c r="D491" s="91" t="s">
        <v>2055</v>
      </c>
      <c r="E491" s="91"/>
      <c r="F491" s="11"/>
      <c r="G491" s="89">
        <f>G490/A488</f>
        <v>3169.22</v>
      </c>
      <c r="H491" s="85"/>
    </row>
    <row r="492" spans="1:8">
      <c r="A492" s="85"/>
      <c r="B492" s="85"/>
      <c r="C492" s="85"/>
      <c r="D492" s="85"/>
      <c r="E492" s="85"/>
      <c r="F492" s="85"/>
      <c r="G492" s="85"/>
      <c r="H492" s="85"/>
    </row>
    <row r="493" spans="1:8">
      <c r="A493" s="85"/>
      <c r="B493" s="85"/>
      <c r="C493" s="88" t="s">
        <v>4437</v>
      </c>
      <c r="D493" s="85"/>
      <c r="E493" s="85"/>
      <c r="F493" s="85"/>
      <c r="G493" s="85"/>
      <c r="H493" s="85"/>
    </row>
    <row r="494" spans="1:8">
      <c r="A494">
        <v>1</v>
      </c>
      <c r="B494" t="s">
        <v>868</v>
      </c>
      <c r="C494" s="1" t="s">
        <v>4438</v>
      </c>
      <c r="E494">
        <v>501</v>
      </c>
      <c r="F494" s="1" t="s">
        <v>868</v>
      </c>
      <c r="G494" s="85">
        <f>E494*A494</f>
        <v>501</v>
      </c>
      <c r="H494" s="85"/>
    </row>
    <row r="495" spans="1:8">
      <c r="A495">
        <v>1</v>
      </c>
      <c r="B495" t="s">
        <v>868</v>
      </c>
      <c r="C495" s="1" t="s">
        <v>4439</v>
      </c>
      <c r="E495">
        <v>355</v>
      </c>
      <c r="F495" s="1" t="s">
        <v>868</v>
      </c>
      <c r="G495" s="85">
        <f>E495*A495</f>
        <v>355</v>
      </c>
      <c r="H495" s="85"/>
    </row>
    <row r="496" spans="1:8">
      <c r="A496">
        <v>0.5</v>
      </c>
      <c r="B496" t="s">
        <v>868</v>
      </c>
      <c r="C496" s="1" t="s">
        <v>4440</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4483</v>
      </c>
      <c r="D501" s="85"/>
      <c r="E501" s="85"/>
      <c r="F501" s="85"/>
      <c r="G501" s="85"/>
      <c r="H501" s="85"/>
    </row>
    <row r="502" spans="1:8">
      <c r="A502" s="85"/>
      <c r="B502" s="85" t="s">
        <v>4397</v>
      </c>
      <c r="C502" s="85" t="s">
        <v>4398</v>
      </c>
      <c r="D502" s="85"/>
      <c r="E502" s="85"/>
      <c r="F502" s="85"/>
      <c r="G502" s="85"/>
      <c r="H502" s="85"/>
    </row>
    <row r="503" spans="1:8">
      <c r="A503" s="85"/>
      <c r="B503" s="85"/>
      <c r="C503" s="85" t="s">
        <v>4474</v>
      </c>
      <c r="D503" s="85" t="s">
        <v>2055</v>
      </c>
      <c r="E503" s="85" t="s">
        <v>4475</v>
      </c>
      <c r="F503" s="85" t="s">
        <v>2055</v>
      </c>
      <c r="G503" s="20">
        <f>1*2*0.6</f>
        <v>1.2</v>
      </c>
      <c r="H503" s="85" t="s">
        <v>1645</v>
      </c>
    </row>
    <row r="504" spans="1:8">
      <c r="A504" s="85"/>
      <c r="B504" s="85"/>
      <c r="C504" s="85" t="s">
        <v>4476</v>
      </c>
      <c r="D504" s="85" t="s">
        <v>2055</v>
      </c>
      <c r="E504" s="85" t="s">
        <v>4477</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4478</v>
      </c>
      <c r="F506" s="85" t="s">
        <v>2055</v>
      </c>
      <c r="G506" s="21">
        <f>3*1.558</f>
        <v>4.67</v>
      </c>
      <c r="H506" s="85" t="s">
        <v>1645</v>
      </c>
    </row>
    <row r="507" spans="1:8">
      <c r="A507" s="85"/>
      <c r="B507" s="85"/>
      <c r="C507" s="85"/>
      <c r="D507" s="85"/>
      <c r="E507" s="85"/>
      <c r="F507" s="85"/>
      <c r="G507" s="20"/>
      <c r="H507" s="85"/>
    </row>
    <row r="508" spans="1:8">
      <c r="A508" s="85"/>
      <c r="B508" s="85"/>
      <c r="C508" s="85" t="s">
        <v>4479</v>
      </c>
      <c r="D508" s="85" t="s">
        <v>2055</v>
      </c>
      <c r="E508" s="85" t="s">
        <v>4480</v>
      </c>
      <c r="F508" s="85" t="s">
        <v>2055</v>
      </c>
      <c r="G508" s="21">
        <f>0.9*0.6</f>
        <v>0.54</v>
      </c>
      <c r="H508" s="85" t="s">
        <v>4481</v>
      </c>
    </row>
    <row r="509" spans="1:8">
      <c r="A509" s="85"/>
      <c r="B509" s="85"/>
      <c r="C509" s="85"/>
      <c r="D509" s="85"/>
      <c r="E509" s="85"/>
      <c r="F509" s="85"/>
      <c r="G509" s="21"/>
      <c r="H509" s="85"/>
    </row>
    <row r="510" spans="1:8">
      <c r="A510" s="85"/>
      <c r="B510" s="85"/>
      <c r="C510" s="85" t="s">
        <v>915</v>
      </c>
      <c r="D510" s="85" t="s">
        <v>2055</v>
      </c>
      <c r="E510" s="85" t="s">
        <v>4482</v>
      </c>
      <c r="F510" s="85" t="s">
        <v>2055</v>
      </c>
      <c r="G510" s="21">
        <f>0.9*0.6</f>
        <v>0.54</v>
      </c>
      <c r="H510" s="85" t="s">
        <v>4481</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4484</v>
      </c>
      <c r="G519" s="91">
        <f>SUM(G515:G518)</f>
        <v>2052.44</v>
      </c>
      <c r="H519" s="85"/>
    </row>
    <row r="520" spans="1:8">
      <c r="A520" s="7"/>
      <c r="C520" s="107" t="s">
        <v>4436</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4492</v>
      </c>
      <c r="D526" s="24"/>
      <c r="E526" s="25"/>
      <c r="F526" s="24"/>
      <c r="G526" s="5"/>
      <c r="H526" s="5"/>
    </row>
    <row r="527" spans="1:8">
      <c r="A527" s="24"/>
      <c r="B527" s="24"/>
      <c r="C527" s="28" t="s">
        <v>4355</v>
      </c>
      <c r="D527" s="24"/>
      <c r="E527" s="25"/>
      <c r="F527" s="24"/>
      <c r="G527" s="5"/>
      <c r="H527" s="5"/>
    </row>
    <row r="528" spans="1:8" ht="18">
      <c r="A528" s="24"/>
      <c r="B528" s="24"/>
      <c r="C528" s="40" t="s">
        <v>4356</v>
      </c>
      <c r="D528" s="24"/>
      <c r="E528" s="25"/>
      <c r="F528" s="24"/>
      <c r="G528" s="5"/>
      <c r="H528" s="5"/>
    </row>
    <row r="529" spans="1:8">
      <c r="A529" s="24"/>
      <c r="B529" s="24"/>
      <c r="C529" s="29" t="s">
        <v>1586</v>
      </c>
      <c r="D529" s="24"/>
      <c r="E529" s="25"/>
      <c r="F529" s="24"/>
      <c r="G529" s="5"/>
      <c r="H529" s="5"/>
    </row>
    <row r="530" spans="1:8">
      <c r="A530" s="24"/>
      <c r="B530" s="24"/>
      <c r="C530" s="22" t="s">
        <v>4357</v>
      </c>
      <c r="G530" s="5"/>
      <c r="H530" s="5"/>
    </row>
    <row r="531" spans="1:8">
      <c r="A531" s="24"/>
      <c r="B531" s="24"/>
      <c r="C531" s="34" t="s">
        <v>4358</v>
      </c>
      <c r="D531" s="85"/>
      <c r="E531" s="42">
        <f>3*2*1.9*0.075*0.0375</f>
        <v>3.2099999999999997E-2</v>
      </c>
      <c r="F531" s="24" t="s">
        <v>2151</v>
      </c>
      <c r="G531" s="5"/>
      <c r="H531" s="5"/>
    </row>
    <row r="532" spans="1:8">
      <c r="A532" s="24"/>
      <c r="B532" s="24"/>
      <c r="C532" s="28" t="s">
        <v>4359</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4360</v>
      </c>
      <c r="D537" s="43"/>
      <c r="E537" s="41">
        <f>3*1.9*0.5</f>
        <v>2.85</v>
      </c>
      <c r="F537" t="s">
        <v>609</v>
      </c>
      <c r="G537" s="5"/>
      <c r="H537" s="5"/>
    </row>
    <row r="538" spans="1:8">
      <c r="A538" s="24"/>
      <c r="B538" s="24"/>
      <c r="C538" s="28"/>
      <c r="D538" s="43"/>
      <c r="E538" s="41"/>
      <c r="F538" s="32"/>
      <c r="G538" s="5"/>
      <c r="H538" s="5"/>
    </row>
    <row r="539" spans="1:8">
      <c r="A539" s="24"/>
      <c r="B539" s="24"/>
      <c r="C539" s="28" t="s">
        <v>4361</v>
      </c>
      <c r="D539" s="43"/>
      <c r="E539" s="41"/>
      <c r="F539" s="32"/>
      <c r="G539" s="5"/>
      <c r="H539" s="5"/>
    </row>
    <row r="540" spans="1:8">
      <c r="A540" s="24"/>
      <c r="B540" s="24"/>
      <c r="C540" s="28" t="s">
        <v>4362</v>
      </c>
      <c r="D540" s="43"/>
      <c r="E540" s="42">
        <f>3*1.775*0.375</f>
        <v>1.9968999999999999</v>
      </c>
      <c r="F540" s="32" t="str">
        <f>F537</f>
        <v>SQM</v>
      </c>
      <c r="G540" s="5"/>
      <c r="H540" s="5"/>
    </row>
    <row r="541" spans="1:8">
      <c r="A541" s="24"/>
      <c r="B541" s="24"/>
      <c r="C541" s="28" t="s">
        <v>4363</v>
      </c>
      <c r="D541" s="24"/>
      <c r="E541" s="42"/>
      <c r="F541" s="34"/>
      <c r="G541" s="5"/>
      <c r="H541" s="5"/>
    </row>
    <row r="542" spans="1:8">
      <c r="A542" s="33"/>
      <c r="B542" s="24"/>
      <c r="C542" s="28" t="s">
        <v>4364</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4365</v>
      </c>
      <c r="D544" s="104"/>
      <c r="E544" s="25"/>
      <c r="F544" s="24"/>
      <c r="G544" s="24"/>
      <c r="H544" s="5"/>
    </row>
    <row r="545" spans="1:8">
      <c r="A545" s="33"/>
      <c r="B545" s="24"/>
      <c r="C545" s="22" t="s">
        <v>4366</v>
      </c>
      <c r="D545" s="85"/>
      <c r="E545" s="24"/>
      <c r="F545" s="25"/>
      <c r="G545" s="24"/>
      <c r="H545" s="5"/>
    </row>
    <row r="546" spans="1:8">
      <c r="A546" s="32">
        <f>E534</f>
        <v>4.0500000000000001E-2</v>
      </c>
      <c r="B546" s="25" t="s">
        <v>869</v>
      </c>
      <c r="C546" s="28" t="s">
        <v>4523</v>
      </c>
      <c r="D546" s="24">
        <f>Data!I952</f>
        <v>99400</v>
      </c>
      <c r="E546" s="28" t="s">
        <v>869</v>
      </c>
      <c r="F546" s="24">
        <f>(A546*D546)</f>
        <v>4025.7</v>
      </c>
      <c r="G546" s="24"/>
      <c r="H546" s="5"/>
    </row>
    <row r="547" spans="1:8">
      <c r="A547" s="32">
        <f>E537</f>
        <v>2.85</v>
      </c>
      <c r="B547" t="s">
        <v>609</v>
      </c>
      <c r="C547" s="28" t="s">
        <v>4524</v>
      </c>
      <c r="D547" s="24">
        <f>Data!P3229</f>
        <v>57.65</v>
      </c>
      <c r="E547" t="s">
        <v>609</v>
      </c>
      <c r="F547" s="24">
        <f>(A547*D547)</f>
        <v>164.3</v>
      </c>
      <c r="G547" s="24"/>
      <c r="H547" s="5"/>
    </row>
    <row r="548" spans="1:8">
      <c r="A548" s="32">
        <f>E540</f>
        <v>1.9968999999999999</v>
      </c>
      <c r="B548" t="s">
        <v>609</v>
      </c>
      <c r="C548" s="28" t="s">
        <v>4361</v>
      </c>
      <c r="D548" s="24">
        <f>Data!I1073</f>
        <v>208.8</v>
      </c>
      <c r="E548" t="s">
        <v>609</v>
      </c>
      <c r="F548" s="24">
        <f t="shared" ref="F548:F554" si="18">(A548*D548)</f>
        <v>416.95</v>
      </c>
      <c r="G548" s="24"/>
      <c r="H548" s="5"/>
    </row>
    <row r="549" spans="1:8">
      <c r="A549" s="24">
        <f>E543</f>
        <v>12.9</v>
      </c>
      <c r="B549" s="24" t="s">
        <v>826</v>
      </c>
      <c r="C549" s="22" t="s">
        <v>4368</v>
      </c>
      <c r="D549" s="24">
        <f>Data!V3161</f>
        <v>89.6</v>
      </c>
      <c r="E549" s="24" t="s">
        <v>826</v>
      </c>
      <c r="F549" s="24">
        <f t="shared" si="18"/>
        <v>1155.8399999999999</v>
      </c>
      <c r="G549" s="24"/>
      <c r="H549" s="5"/>
    </row>
    <row r="550" spans="1:8">
      <c r="A550" s="24">
        <v>9</v>
      </c>
      <c r="B550" t="s">
        <v>868</v>
      </c>
      <c r="C550" s="1" t="s">
        <v>1517</v>
      </c>
      <c r="D550" s="24">
        <f>Data!V3162</f>
        <v>82.25</v>
      </c>
      <c r="E550" s="1" t="s">
        <v>868</v>
      </c>
      <c r="F550" s="24">
        <f t="shared" si="18"/>
        <v>740.25</v>
      </c>
      <c r="G550" s="24"/>
      <c r="H550" s="5"/>
    </row>
    <row r="551" spans="1:8">
      <c r="A551" s="24">
        <v>6</v>
      </c>
      <c r="B551" t="s">
        <v>868</v>
      </c>
      <c r="C551" s="1" t="s">
        <v>3547</v>
      </c>
      <c r="D551" s="24">
        <f>Data!V3163</f>
        <v>57.65</v>
      </c>
      <c r="E551" s="1" t="s">
        <v>868</v>
      </c>
      <c r="F551" s="24">
        <f t="shared" si="18"/>
        <v>345.9</v>
      </c>
      <c r="G551" s="24"/>
      <c r="H551" s="5"/>
    </row>
    <row r="552" spans="1:8">
      <c r="A552" s="24">
        <v>3</v>
      </c>
      <c r="B552" t="s">
        <v>868</v>
      </c>
      <c r="C552" s="1" t="s">
        <v>3548</v>
      </c>
      <c r="D552" s="24">
        <f>Data!V3164</f>
        <v>7.3</v>
      </c>
      <c r="E552" s="1" t="s">
        <v>868</v>
      </c>
      <c r="F552" s="24">
        <f t="shared" si="18"/>
        <v>21.9</v>
      </c>
      <c r="G552" s="24"/>
      <c r="H552" s="5"/>
    </row>
    <row r="553" spans="1:8">
      <c r="A553" s="24">
        <v>3</v>
      </c>
      <c r="B553" t="s">
        <v>868</v>
      </c>
      <c r="C553" s="1" t="s">
        <v>1980</v>
      </c>
      <c r="D553" s="24">
        <f>Data!V3165</f>
        <v>2.41</v>
      </c>
      <c r="E553" s="1" t="s">
        <v>868</v>
      </c>
      <c r="F553" s="24">
        <f t="shared" si="18"/>
        <v>7.23</v>
      </c>
      <c r="G553" s="24"/>
      <c r="H553" s="5"/>
    </row>
    <row r="554" spans="1:8">
      <c r="A554" s="24">
        <v>120</v>
      </c>
      <c r="B554" t="s">
        <v>868</v>
      </c>
      <c r="C554" s="1" t="s">
        <v>4369</v>
      </c>
      <c r="D554" s="24">
        <f>Data!V3166</f>
        <v>0</v>
      </c>
      <c r="E554" s="1" t="s">
        <v>868</v>
      </c>
      <c r="F554" s="24">
        <f t="shared" si="18"/>
        <v>0</v>
      </c>
      <c r="G554" s="24"/>
      <c r="H554" s="5"/>
    </row>
    <row r="555" spans="1:8">
      <c r="A555" s="24"/>
      <c r="B555" s="24"/>
      <c r="C555" s="28"/>
      <c r="D555" s="85"/>
      <c r="E555" s="24"/>
      <c r="F555" s="29" t="s">
        <v>1586</v>
      </c>
      <c r="G555" s="24"/>
      <c r="H555" s="5"/>
    </row>
    <row r="556" spans="1:8">
      <c r="A556" s="24"/>
      <c r="B556" s="24"/>
      <c r="C556" s="28" t="s">
        <v>4370</v>
      </c>
      <c r="D556" s="85"/>
      <c r="E556" s="25"/>
      <c r="F556" s="26">
        <f>SUM(F546:F555)</f>
        <v>6878.07</v>
      </c>
      <c r="G556" s="44"/>
      <c r="H556" s="5"/>
    </row>
    <row r="557" spans="1:8">
      <c r="A557" s="24"/>
      <c r="B557" s="24"/>
      <c r="C557" s="85"/>
      <c r="D557" s="24"/>
      <c r="E557" s="25"/>
      <c r="F557" s="29" t="s">
        <v>1586</v>
      </c>
      <c r="G557" s="85"/>
      <c r="H557" s="5"/>
    </row>
    <row r="558" spans="1:8">
      <c r="A558" s="24"/>
      <c r="B558" s="24"/>
      <c r="C558" s="26" t="s">
        <v>4049</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984"/>
      <c r="F560" s="984"/>
      <c r="G560" s="984"/>
      <c r="H560" s="984"/>
    </row>
    <row r="561" spans="1:8">
      <c r="G561" s="5"/>
      <c r="H561" s="5"/>
    </row>
    <row r="562" spans="1:8">
      <c r="A562" s="85"/>
      <c r="B562" s="85"/>
      <c r="C562" s="85"/>
      <c r="D562" s="85"/>
      <c r="E562" s="85"/>
      <c r="F562" s="85"/>
      <c r="G562" s="85"/>
      <c r="H562" s="85"/>
    </row>
    <row r="563" spans="1:8">
      <c r="A563" s="114">
        <v>1</v>
      </c>
      <c r="B563" s="24"/>
      <c r="C563" s="28" t="s">
        <v>4355</v>
      </c>
      <c r="D563" s="24"/>
      <c r="E563" s="25"/>
      <c r="F563" s="24"/>
      <c r="G563" s="85"/>
      <c r="H563" s="85"/>
    </row>
    <row r="564" spans="1:8" ht="18">
      <c r="A564" s="24"/>
      <c r="B564" s="24"/>
      <c r="C564" s="40" t="s">
        <v>4493</v>
      </c>
      <c r="D564" s="24"/>
      <c r="E564" s="25"/>
      <c r="F564" s="24"/>
      <c r="G564" s="85"/>
      <c r="H564" s="85"/>
    </row>
    <row r="565" spans="1:8">
      <c r="A565" s="24"/>
      <c r="B565" s="24"/>
      <c r="C565" s="29" t="s">
        <v>1586</v>
      </c>
      <c r="D565" s="24"/>
      <c r="E565" s="25"/>
      <c r="F565" s="24"/>
      <c r="G565" s="85"/>
      <c r="H565" s="85"/>
    </row>
    <row r="566" spans="1:8">
      <c r="A566" s="24"/>
      <c r="B566" s="24"/>
      <c r="C566" s="22" t="s">
        <v>4357</v>
      </c>
      <c r="F566" t="s">
        <v>2151</v>
      </c>
      <c r="G566" s="85"/>
      <c r="H566" s="85"/>
    </row>
    <row r="567" spans="1:8">
      <c r="A567" s="24"/>
      <c r="B567" s="24"/>
      <c r="C567" s="34" t="s">
        <v>4494</v>
      </c>
      <c r="D567" s="85"/>
      <c r="E567" s="42">
        <f>3*2*1.9*0.075*0.0375</f>
        <v>3.2099999999999997E-2</v>
      </c>
      <c r="F567" s="24" t="s">
        <v>2151</v>
      </c>
      <c r="G567" s="85"/>
      <c r="H567" s="85"/>
    </row>
    <row r="568" spans="1:8">
      <c r="A568" s="24"/>
      <c r="B568" s="24"/>
      <c r="C568" s="28" t="s">
        <v>4495</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4496</v>
      </c>
      <c r="D573" s="43"/>
      <c r="E573" s="41">
        <f>3*1.9*0.6</f>
        <v>3.42</v>
      </c>
      <c r="F573" t="s">
        <v>609</v>
      </c>
      <c r="G573" s="85"/>
      <c r="H573" s="85"/>
    </row>
    <row r="574" spans="1:8">
      <c r="A574" s="24"/>
      <c r="B574" s="24"/>
      <c r="C574" s="28"/>
      <c r="D574" s="43"/>
      <c r="E574" s="41"/>
      <c r="F574" s="32"/>
      <c r="G574" s="85"/>
      <c r="H574" s="85"/>
    </row>
    <row r="575" spans="1:8">
      <c r="A575" s="24"/>
      <c r="B575" s="24"/>
      <c r="C575" s="28" t="s">
        <v>4361</v>
      </c>
      <c r="D575" s="43"/>
      <c r="E575" s="41"/>
      <c r="F575" s="32"/>
      <c r="G575" s="85"/>
      <c r="H575" s="85"/>
    </row>
    <row r="576" spans="1:8">
      <c r="A576" s="24"/>
      <c r="B576" s="24"/>
      <c r="C576" s="28" t="s">
        <v>4497</v>
      </c>
      <c r="D576" s="43"/>
      <c r="E576" s="42">
        <f>3*1.775*0.475</f>
        <v>2.5293999999999999</v>
      </c>
      <c r="F576" s="32" t="str">
        <f>F573</f>
        <v>SQM</v>
      </c>
      <c r="G576" s="85"/>
      <c r="H576" s="85"/>
    </row>
    <row r="577" spans="1:8">
      <c r="A577" s="24"/>
      <c r="B577" s="24"/>
      <c r="C577" s="28" t="s">
        <v>4363</v>
      </c>
      <c r="D577" s="24"/>
      <c r="E577" s="42"/>
      <c r="F577" s="34"/>
      <c r="G577" s="85"/>
      <c r="H577" s="85"/>
    </row>
    <row r="578" spans="1:8">
      <c r="A578" s="33"/>
      <c r="B578" s="24"/>
      <c r="C578" s="28" t="s">
        <v>4498</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4365</v>
      </c>
      <c r="D580" s="104"/>
      <c r="E580" s="25"/>
      <c r="F580" s="24"/>
      <c r="G580" s="85"/>
      <c r="H580" s="85"/>
    </row>
    <row r="581" spans="1:8">
      <c r="A581" s="32"/>
      <c r="B581" s="24"/>
      <c r="C581" s="31"/>
      <c r="D581" s="85"/>
      <c r="E581" s="24"/>
      <c r="F581" s="25"/>
      <c r="G581" s="85"/>
      <c r="H581" s="85"/>
    </row>
    <row r="582" spans="1:8">
      <c r="A582" s="33"/>
      <c r="B582" s="24"/>
      <c r="C582" s="22" t="s">
        <v>4366</v>
      </c>
      <c r="D582" s="85"/>
      <c r="E582" s="24"/>
      <c r="F582" s="25"/>
      <c r="G582" s="85"/>
      <c r="H582" s="85"/>
    </row>
    <row r="583" spans="1:8">
      <c r="A583" s="32">
        <f>E570</f>
        <v>4.2200000000000001E-2</v>
      </c>
      <c r="B583" s="25" t="s">
        <v>869</v>
      </c>
      <c r="C583" s="28" t="s">
        <v>4367</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4361</v>
      </c>
      <c r="D585" s="24">
        <f t="shared" si="19"/>
        <v>208.8</v>
      </c>
      <c r="E585" t="s">
        <v>609</v>
      </c>
      <c r="F585" s="24">
        <f t="shared" si="20"/>
        <v>528.14</v>
      </c>
      <c r="G585" s="85"/>
      <c r="H585" s="85"/>
    </row>
    <row r="586" spans="1:8">
      <c r="A586" s="24">
        <f>E579</f>
        <v>13.5</v>
      </c>
      <c r="B586" s="24" t="s">
        <v>826</v>
      </c>
      <c r="C586" s="22" t="s">
        <v>4368</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4369</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4499</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4049</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4355</v>
      </c>
      <c r="D598" s="24"/>
      <c r="E598" s="25"/>
      <c r="F598" s="24"/>
      <c r="G598" s="85"/>
      <c r="H598" s="85"/>
    </row>
    <row r="599" spans="1:8" ht="18">
      <c r="A599" s="24"/>
      <c r="B599" s="24"/>
      <c r="C599" s="40" t="s">
        <v>4500</v>
      </c>
      <c r="D599" s="24"/>
      <c r="E599" s="25"/>
      <c r="F599" s="24"/>
      <c r="G599" s="85"/>
      <c r="H599" s="85"/>
    </row>
    <row r="600" spans="1:8">
      <c r="A600" s="24"/>
      <c r="B600" s="24"/>
      <c r="C600" s="29" t="s">
        <v>1586</v>
      </c>
      <c r="D600" s="24"/>
      <c r="E600" s="25"/>
      <c r="F600" s="24"/>
      <c r="G600" s="85"/>
      <c r="H600" s="85"/>
    </row>
    <row r="601" spans="1:8">
      <c r="A601" s="24"/>
      <c r="B601" s="24"/>
      <c r="C601" s="22" t="s">
        <v>4357</v>
      </c>
      <c r="F601" t="s">
        <v>2151</v>
      </c>
      <c r="G601" s="85"/>
      <c r="H601" s="85"/>
    </row>
    <row r="602" spans="1:8">
      <c r="A602" s="24"/>
      <c r="B602" s="24"/>
      <c r="C602" s="34" t="s">
        <v>4501</v>
      </c>
      <c r="D602" s="85"/>
      <c r="E602" s="42">
        <f>2*2*1.9*0.075*0.0375</f>
        <v>2.1399999999999999E-2</v>
      </c>
      <c r="F602" s="24" t="s">
        <v>2151</v>
      </c>
      <c r="G602" s="85"/>
      <c r="H602" s="85"/>
    </row>
    <row r="603" spans="1:8">
      <c r="A603" s="24"/>
      <c r="B603" s="24"/>
      <c r="C603" s="28" t="s">
        <v>4502</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4503</v>
      </c>
      <c r="D608" s="43"/>
      <c r="E608" s="41">
        <f>2*1.9*0.5</f>
        <v>1.9</v>
      </c>
      <c r="F608" t="s">
        <v>609</v>
      </c>
      <c r="G608" s="85"/>
      <c r="H608" s="85"/>
    </row>
    <row r="609" spans="1:8">
      <c r="A609" s="24"/>
      <c r="B609" s="24"/>
      <c r="C609" s="28"/>
      <c r="D609" s="43"/>
      <c r="E609" s="41"/>
      <c r="F609" s="32"/>
      <c r="G609" s="85"/>
      <c r="H609" s="85"/>
    </row>
    <row r="610" spans="1:8">
      <c r="A610" s="24"/>
      <c r="B610" s="24"/>
      <c r="C610" s="28" t="s">
        <v>4361</v>
      </c>
      <c r="D610" s="43"/>
      <c r="E610" s="41"/>
      <c r="F610" s="32"/>
      <c r="G610" s="85"/>
      <c r="H610" s="85"/>
    </row>
    <row r="611" spans="1:8">
      <c r="A611" s="24"/>
      <c r="B611" s="24"/>
      <c r="C611" s="28" t="s">
        <v>4504</v>
      </c>
      <c r="D611" s="43"/>
      <c r="E611" s="42">
        <f>2*1.775*0.375</f>
        <v>1.3312999999999999</v>
      </c>
      <c r="F611" s="32" t="str">
        <f>F608</f>
        <v>SQM</v>
      </c>
      <c r="G611" s="85"/>
      <c r="H611" s="85"/>
    </row>
    <row r="612" spans="1:8">
      <c r="A612" s="24"/>
      <c r="B612" s="24"/>
      <c r="C612" s="28" t="s">
        <v>4505</v>
      </c>
      <c r="D612" s="24"/>
      <c r="E612" s="42"/>
      <c r="F612" s="34"/>
      <c r="G612" s="85"/>
      <c r="H612" s="85"/>
    </row>
    <row r="613" spans="1:8">
      <c r="A613" s="33"/>
      <c r="B613" s="24"/>
      <c r="C613" s="28" t="s">
        <v>4506</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4365</v>
      </c>
      <c r="D615" s="104"/>
      <c r="E615" s="25"/>
      <c r="F615" s="24"/>
      <c r="G615" s="85"/>
      <c r="H615" s="85"/>
    </row>
    <row r="616" spans="1:8">
      <c r="A616" s="32"/>
      <c r="B616" s="24"/>
      <c r="C616" s="31"/>
      <c r="D616" s="85"/>
      <c r="E616" s="24"/>
      <c r="F616" s="25"/>
      <c r="G616" s="85"/>
      <c r="H616" s="85"/>
    </row>
    <row r="617" spans="1:8">
      <c r="A617" s="33"/>
      <c r="B617" s="24"/>
      <c r="C617" s="22" t="s">
        <v>4366</v>
      </c>
      <c r="D617" s="85"/>
      <c r="E617" s="24"/>
      <c r="F617" s="25"/>
      <c r="G617" s="85"/>
      <c r="H617" s="85"/>
    </row>
    <row r="618" spans="1:8">
      <c r="A618" s="32">
        <f>E605</f>
        <v>2.7E-2</v>
      </c>
      <c r="B618" s="25" t="s">
        <v>869</v>
      </c>
      <c r="C618" s="28" t="s">
        <v>4367</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4361</v>
      </c>
      <c r="D620" s="24">
        <f t="shared" si="21"/>
        <v>208.8</v>
      </c>
      <c r="E620" t="s">
        <v>609</v>
      </c>
      <c r="F620" s="24">
        <f t="shared" si="22"/>
        <v>277.98</v>
      </c>
      <c r="G620" s="85"/>
      <c r="H620" s="85"/>
    </row>
    <row r="621" spans="1:8">
      <c r="A621" s="24">
        <f>E614</f>
        <v>8.6</v>
      </c>
      <c r="B621" s="24" t="s">
        <v>826</v>
      </c>
      <c r="C621" s="22" t="s">
        <v>4368</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4369</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4507</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4049</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4355</v>
      </c>
      <c r="D634" s="24"/>
      <c r="E634" s="25"/>
      <c r="F634" s="24"/>
      <c r="G634" s="85"/>
      <c r="H634" s="85"/>
    </row>
    <row r="635" spans="1:8" ht="18">
      <c r="A635" s="24"/>
      <c r="B635" s="24"/>
      <c r="C635" s="40" t="s">
        <v>4508</v>
      </c>
      <c r="D635" s="24"/>
      <c r="E635" s="25"/>
      <c r="F635" s="24"/>
      <c r="G635" s="85"/>
      <c r="H635" s="85"/>
    </row>
    <row r="636" spans="1:8">
      <c r="A636" s="24"/>
      <c r="B636" s="24"/>
      <c r="C636" s="29" t="s">
        <v>1586</v>
      </c>
      <c r="D636" s="24"/>
      <c r="E636" s="25"/>
      <c r="F636" s="24"/>
      <c r="G636" s="85"/>
      <c r="H636" s="85"/>
    </row>
    <row r="637" spans="1:8">
      <c r="A637" s="24"/>
      <c r="B637" s="24"/>
      <c r="C637" s="22" t="s">
        <v>4357</v>
      </c>
      <c r="F637" t="s">
        <v>2151</v>
      </c>
      <c r="G637" s="85"/>
      <c r="H637" s="85"/>
    </row>
    <row r="638" spans="1:8">
      <c r="A638" s="24"/>
      <c r="B638" s="24"/>
      <c r="C638" s="34" t="s">
        <v>4509</v>
      </c>
      <c r="D638" s="85"/>
      <c r="E638" s="42">
        <f>2*2*1.9*0.075*0.0375</f>
        <v>2.1399999999999999E-2</v>
      </c>
      <c r="F638" s="24" t="s">
        <v>2151</v>
      </c>
      <c r="G638" s="85"/>
      <c r="H638" s="85"/>
    </row>
    <row r="639" spans="1:8">
      <c r="A639" s="24"/>
      <c r="B639" s="24"/>
      <c r="C639" s="28" t="s">
        <v>4510</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4511</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4361</v>
      </c>
      <c r="D646" s="43"/>
      <c r="E646" s="41"/>
      <c r="F646" s="32"/>
      <c r="G646" s="85"/>
      <c r="H646" s="85"/>
    </row>
    <row r="647" spans="1:8">
      <c r="A647" s="24"/>
      <c r="B647" s="24"/>
      <c r="C647" s="28" t="s">
        <v>4512</v>
      </c>
      <c r="D647" s="43"/>
      <c r="E647" s="42">
        <f>1*1.775*0.525</f>
        <v>0.93189999999999995</v>
      </c>
      <c r="F647" s="32" t="str">
        <f>F644</f>
        <v>SQM</v>
      </c>
      <c r="G647" s="85"/>
      <c r="H647" s="85"/>
    </row>
    <row r="648" spans="1:8">
      <c r="A648" s="24"/>
      <c r="B648" s="24"/>
      <c r="C648" s="28" t="s">
        <v>4363</v>
      </c>
      <c r="D648" s="24"/>
      <c r="E648" s="42"/>
      <c r="F648" s="34"/>
      <c r="G648" s="85"/>
      <c r="H648" s="85"/>
    </row>
    <row r="649" spans="1:8">
      <c r="A649" s="33"/>
      <c r="B649" s="24"/>
      <c r="C649" s="28" t="s">
        <v>4513</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4365</v>
      </c>
      <c r="D651" s="104"/>
      <c r="E651" s="25"/>
      <c r="F651" s="24"/>
      <c r="G651" s="85"/>
      <c r="H651" s="85"/>
    </row>
    <row r="652" spans="1:8">
      <c r="A652" s="32"/>
      <c r="B652" s="24"/>
      <c r="C652" s="31"/>
      <c r="D652" s="85"/>
      <c r="E652" s="24"/>
      <c r="F652" s="25"/>
      <c r="G652" s="85"/>
      <c r="H652" s="85"/>
    </row>
    <row r="653" spans="1:8">
      <c r="A653" s="33"/>
      <c r="B653" s="24"/>
      <c r="C653" s="22" t="s">
        <v>4366</v>
      </c>
      <c r="D653" s="85"/>
      <c r="E653" s="24"/>
      <c r="F653" s="25"/>
      <c r="G653" s="85"/>
      <c r="H653" s="85"/>
    </row>
    <row r="654" spans="1:8">
      <c r="A654" s="32">
        <f>E641</f>
        <v>2.5100000000000001E-2</v>
      </c>
      <c r="B654" s="25" t="s">
        <v>869</v>
      </c>
      <c r="C654" s="28" t="s">
        <v>4367</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4361</v>
      </c>
      <c r="D656" s="24">
        <f t="shared" si="23"/>
        <v>208.8</v>
      </c>
      <c r="E656" t="s">
        <v>609</v>
      </c>
      <c r="F656" s="24">
        <f t="shared" si="24"/>
        <v>194.58</v>
      </c>
      <c r="G656" s="85"/>
      <c r="H656" s="85"/>
    </row>
    <row r="657" spans="1:8">
      <c r="A657" s="24">
        <f>E650</f>
        <v>4.5999999999999996</v>
      </c>
      <c r="B657" s="24" t="s">
        <v>826</v>
      </c>
      <c r="C657" s="22" t="s">
        <v>4368</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4369</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4514</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4049</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4355</v>
      </c>
      <c r="D670" s="24"/>
      <c r="E670" s="25"/>
      <c r="F670" s="24"/>
      <c r="G670" s="85"/>
      <c r="H670" s="85"/>
    </row>
    <row r="671" spans="1:8" ht="18">
      <c r="A671" s="24"/>
      <c r="B671" s="24"/>
      <c r="C671" s="40" t="s">
        <v>4515</v>
      </c>
      <c r="D671" s="24"/>
      <c r="E671" s="25"/>
      <c r="F671" s="24"/>
      <c r="G671" s="85"/>
      <c r="H671" s="85"/>
    </row>
    <row r="672" spans="1:8">
      <c r="A672" s="24"/>
      <c r="B672" s="24"/>
      <c r="C672" s="29" t="s">
        <v>1586</v>
      </c>
      <c r="D672" s="24"/>
      <c r="E672" s="25"/>
      <c r="F672" s="24"/>
      <c r="G672" s="85"/>
      <c r="H672" s="85"/>
    </row>
    <row r="673" spans="1:8">
      <c r="A673" s="24"/>
      <c r="B673" s="24"/>
      <c r="C673" s="22" t="s">
        <v>4357</v>
      </c>
      <c r="F673" t="s">
        <v>2151</v>
      </c>
      <c r="G673" s="85"/>
      <c r="H673" s="85"/>
    </row>
    <row r="674" spans="1:8">
      <c r="A674" s="24"/>
      <c r="B674" s="24"/>
      <c r="C674" s="34" t="s">
        <v>4509</v>
      </c>
      <c r="D674" s="85"/>
      <c r="E674" s="42">
        <f>2*2*1.9*0.075*0.0375</f>
        <v>2.1399999999999999E-2</v>
      </c>
      <c r="F674" s="24" t="s">
        <v>2151</v>
      </c>
      <c r="G674" s="85"/>
      <c r="H674" s="85"/>
    </row>
    <row r="675" spans="1:8">
      <c r="A675" s="24"/>
      <c r="B675" s="24"/>
      <c r="C675" s="28" t="s">
        <v>4516</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4517</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4361</v>
      </c>
      <c r="D682" s="43"/>
      <c r="E682" s="41"/>
      <c r="F682" s="32"/>
      <c r="G682" s="85"/>
      <c r="H682" s="85"/>
    </row>
    <row r="683" spans="1:8">
      <c r="A683" s="24"/>
      <c r="B683" s="24"/>
      <c r="C683" s="28" t="s">
        <v>4518</v>
      </c>
      <c r="D683" s="43"/>
      <c r="E683" s="42">
        <f>1*1.775*0.345</f>
        <v>0.61240000000000006</v>
      </c>
      <c r="F683" s="32" t="str">
        <f>F680</f>
        <v>SQM</v>
      </c>
      <c r="H683" s="85"/>
    </row>
    <row r="684" spans="1:8">
      <c r="A684" s="24"/>
      <c r="B684" s="24"/>
      <c r="C684" s="28" t="s">
        <v>4363</v>
      </c>
      <c r="D684" s="24"/>
      <c r="E684" s="42"/>
      <c r="F684" s="34"/>
      <c r="H684" s="85"/>
    </row>
    <row r="685" spans="1:8">
      <c r="A685" s="33"/>
      <c r="B685" s="24"/>
      <c r="C685" s="28" t="s">
        <v>4519</v>
      </c>
      <c r="D685" s="43"/>
      <c r="E685" s="103">
        <f>1.775+0.345</f>
        <v>2.12</v>
      </c>
      <c r="F685" s="32"/>
      <c r="H685" s="85"/>
    </row>
    <row r="686" spans="1:8">
      <c r="A686" s="33"/>
      <c r="B686" s="24"/>
      <c r="C686" s="24"/>
      <c r="D686" s="104"/>
      <c r="E686" s="30">
        <f>E685*2</f>
        <v>4.24</v>
      </c>
      <c r="F686" s="24" t="s">
        <v>826</v>
      </c>
      <c r="H686" s="85"/>
    </row>
    <row r="687" spans="1:8">
      <c r="A687" s="33"/>
      <c r="B687" s="24"/>
      <c r="C687" s="113" t="s">
        <v>4365</v>
      </c>
      <c r="D687" s="104"/>
      <c r="E687" s="25"/>
      <c r="F687" s="24"/>
      <c r="H687" s="85"/>
    </row>
    <row r="688" spans="1:8">
      <c r="A688" s="32"/>
      <c r="B688" s="24"/>
      <c r="C688" s="31"/>
      <c r="D688" s="85"/>
      <c r="E688" s="24"/>
      <c r="F688" s="25"/>
      <c r="H688" s="85"/>
    </row>
    <row r="689" spans="1:8">
      <c r="A689" s="33"/>
      <c r="B689" s="24"/>
      <c r="C689" s="22" t="s">
        <v>4366</v>
      </c>
      <c r="D689" s="85"/>
      <c r="E689" s="24"/>
      <c r="F689" s="25"/>
      <c r="H689" s="85"/>
    </row>
    <row r="690" spans="1:8">
      <c r="A690" s="32">
        <f>E677</f>
        <v>2.4E-2</v>
      </c>
      <c r="B690" s="25" t="s">
        <v>869</v>
      </c>
      <c r="C690" s="28" t="s">
        <v>4367</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4361</v>
      </c>
      <c r="D692" s="24">
        <f t="shared" si="25"/>
        <v>208.8</v>
      </c>
      <c r="E692" t="s">
        <v>609</v>
      </c>
      <c r="F692" s="24">
        <f t="shared" si="26"/>
        <v>127.87</v>
      </c>
      <c r="H692" s="85"/>
    </row>
    <row r="693" spans="1:8">
      <c r="A693" s="24">
        <f>E686</f>
        <v>4.24</v>
      </c>
      <c r="B693" s="24" t="s">
        <v>826</v>
      </c>
      <c r="C693" s="22" t="s">
        <v>4368</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4369</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4520</v>
      </c>
      <c r="D700" s="85"/>
      <c r="E700" s="25"/>
      <c r="F700" s="26">
        <f>SUM(F690:F699)</f>
        <v>3316.61</v>
      </c>
      <c r="H700" s="85"/>
    </row>
    <row r="701" spans="1:8">
      <c r="A701" s="24"/>
      <c r="B701" s="24"/>
      <c r="C701" s="85"/>
      <c r="D701" s="24"/>
      <c r="E701" s="25"/>
      <c r="F701" s="29" t="s">
        <v>1586</v>
      </c>
      <c r="H701" s="85"/>
    </row>
    <row r="702" spans="1:8">
      <c r="A702" s="24"/>
      <c r="B702" s="24"/>
      <c r="C702" s="26" t="s">
        <v>4049</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C1483" transitionEvaluation="1">
    <tabColor rgb="FF00B050"/>
  </sheetPr>
  <dimension ref="A1:IS8559"/>
  <sheetViews>
    <sheetView view="pageBreakPreview" topLeftCell="C1483" zoomScale="80" zoomScaleNormal="75" zoomScaleSheetLayoutView="80" workbookViewId="0">
      <selection activeCell="F1489" sqref="F1489:K1500"/>
    </sheetView>
  </sheetViews>
  <sheetFormatPr defaultColWidth="7.44140625" defaultRowHeight="24" customHeight="1"/>
  <cols>
    <col min="1" max="1" width="7.77734375" style="283" customWidth="1"/>
    <col min="2" max="2" width="64" style="283" customWidth="1"/>
    <col min="3" max="3" width="16.21875" style="283" customWidth="1"/>
    <col min="4" max="4" width="13.77734375" style="283" customWidth="1"/>
    <col min="5" max="5" width="8.5546875" style="283" customWidth="1"/>
    <col min="6" max="6" width="11.44140625" style="283" customWidth="1"/>
    <col min="7" max="7" width="7.44140625" style="283" customWidth="1"/>
    <col min="8" max="8" width="36" style="283" customWidth="1"/>
    <col min="9" max="9" width="8.5546875" style="283" customWidth="1"/>
    <col min="10" max="10" width="7.88671875" style="374" customWidth="1"/>
    <col min="11" max="11" width="9.88671875" style="283" customWidth="1"/>
    <col min="12" max="12" width="9.77734375" style="283" customWidth="1"/>
    <col min="13" max="13" width="10.77734375" style="283" customWidth="1"/>
    <col min="14" max="14" width="6.88671875" style="283" customWidth="1"/>
    <col min="15" max="15" width="42.21875" style="283" customWidth="1"/>
    <col min="16" max="16" width="11.21875" style="283" customWidth="1"/>
    <col min="17" max="17" width="8.5546875" style="283" customWidth="1"/>
    <col min="18" max="18" width="12.77734375" style="283" customWidth="1"/>
    <col min="19" max="19" width="10.88671875" style="746" customWidth="1"/>
    <col min="20" max="20" width="5.77734375" style="283" customWidth="1"/>
    <col min="21" max="21" width="35.109375" style="283" customWidth="1"/>
    <col min="22" max="22" width="10" style="283" customWidth="1"/>
    <col min="23" max="23" width="21.33203125" style="283" customWidth="1"/>
    <col min="24" max="24" width="8.88671875" style="283" customWidth="1"/>
    <col min="25" max="25" width="12" style="283" bestFit="1" customWidth="1"/>
    <col min="26" max="26" width="15.21875" style="283" customWidth="1"/>
    <col min="27" max="27" width="21.6640625" style="283" hidden="1" customWidth="1"/>
    <col min="28" max="28" width="15.5546875" style="283" hidden="1" customWidth="1"/>
    <col min="29" max="29" width="13.33203125" style="283" customWidth="1"/>
    <col min="30" max="30" width="27.33203125" style="283" customWidth="1"/>
    <col min="31" max="31" width="14.44140625" style="283" customWidth="1"/>
    <col min="32" max="32" width="11.77734375" style="283" customWidth="1"/>
    <col min="33" max="33" width="11.5546875" style="283" customWidth="1"/>
    <col min="34" max="34" width="15.77734375" style="283" customWidth="1"/>
    <col min="35" max="35" width="21.5546875" style="283" customWidth="1"/>
    <col min="36" max="36" width="12.77734375" style="283" customWidth="1"/>
    <col min="37" max="37" width="8.88671875" style="283" customWidth="1"/>
    <col min="38" max="38" width="10.21875" style="283" customWidth="1"/>
    <col min="39" max="39" width="7.44140625" style="283" customWidth="1"/>
    <col min="40" max="40" width="10.88671875" style="283" customWidth="1"/>
    <col min="41" max="41" width="7.44140625" style="283"/>
    <col min="42" max="42" width="22" style="283" customWidth="1"/>
    <col min="43" max="43" width="11.33203125" style="283" customWidth="1"/>
    <col min="44" max="44" width="8.6640625" style="283" customWidth="1"/>
    <col min="45" max="45" width="11" style="283" customWidth="1"/>
    <col min="46" max="46" width="7.5546875" style="283" bestFit="1" customWidth="1"/>
    <col min="47" max="47" width="8" style="283" bestFit="1" customWidth="1"/>
    <col min="48" max="48" width="9.33203125" style="283" customWidth="1"/>
    <col min="49" max="252" width="7.44140625" style="283"/>
    <col min="253" max="253" width="7.5546875" style="283" bestFit="1" customWidth="1"/>
    <col min="254" max="16384" width="7.44140625" style="283"/>
  </cols>
  <sheetData>
    <row r="1" spans="1:37" ht="24" customHeight="1">
      <c r="A1" s="374"/>
      <c r="B1" s="744" t="s">
        <v>6070</v>
      </c>
      <c r="E1" s="374" t="s">
        <v>975</v>
      </c>
      <c r="H1" s="745" t="s">
        <v>248</v>
      </c>
      <c r="O1" s="374" t="s">
        <v>248</v>
      </c>
      <c r="T1" s="744"/>
      <c r="U1" s="747" t="s">
        <v>2054</v>
      </c>
      <c r="V1" s="747"/>
      <c r="W1" s="744" t="s">
        <v>975</v>
      </c>
      <c r="X1" s="744"/>
      <c r="Y1" s="744"/>
      <c r="Z1" s="744"/>
      <c r="AA1" s="744"/>
      <c r="AB1" s="744"/>
      <c r="AC1" s="744"/>
      <c r="AD1" s="744"/>
      <c r="AE1" s="744"/>
    </row>
    <row r="2" spans="1:37" ht="24" customHeight="1">
      <c r="B2" s="748" t="s">
        <v>2055</v>
      </c>
      <c r="E2" s="374" t="s">
        <v>975</v>
      </c>
      <c r="H2" s="744" t="s">
        <v>652</v>
      </c>
      <c r="O2" s="744" t="s">
        <v>652</v>
      </c>
      <c r="U2" s="997" t="s">
        <v>327</v>
      </c>
      <c r="V2" s="998"/>
      <c r="W2" s="998"/>
      <c r="X2" s="998"/>
    </row>
    <row r="3" spans="1:37" ht="24" customHeight="1">
      <c r="A3" s="374" t="s">
        <v>1585</v>
      </c>
      <c r="B3" s="749" t="s">
        <v>6364</v>
      </c>
      <c r="C3" s="374" t="s">
        <v>6396</v>
      </c>
      <c r="E3" s="374" t="s">
        <v>975</v>
      </c>
      <c r="F3" s="750" t="s">
        <v>1585</v>
      </c>
      <c r="G3" s="283" t="s">
        <v>975</v>
      </c>
      <c r="H3" s="751" t="str">
        <f>B3</f>
        <v>ARUMANAI</v>
      </c>
      <c r="J3" s="745" t="str">
        <f>C3</f>
        <v>2023-2024</v>
      </c>
      <c r="M3" s="374" t="s">
        <v>1585</v>
      </c>
      <c r="N3" s="374" t="s">
        <v>975</v>
      </c>
      <c r="O3" s="283" t="str">
        <f>B3</f>
        <v>ARUMANAI</v>
      </c>
      <c r="Q3" s="283" t="str">
        <f>C3</f>
        <v>2023-2024</v>
      </c>
      <c r="T3" s="752" t="s">
        <v>1585</v>
      </c>
      <c r="U3" s="753" t="s">
        <v>6482</v>
      </c>
      <c r="V3" s="754"/>
      <c r="W3" s="755" t="str">
        <f>C3</f>
        <v>2023-2024</v>
      </c>
      <c r="X3" s="754"/>
      <c r="Y3" s="754"/>
      <c r="Z3" s="754"/>
      <c r="AA3" s="752"/>
      <c r="AB3" s="754"/>
      <c r="AC3" s="754"/>
      <c r="AD3" s="754"/>
      <c r="AE3" s="754"/>
    </row>
    <row r="4" spans="1:37" ht="24" customHeight="1">
      <c r="F4" s="748" t="s">
        <v>1586</v>
      </c>
      <c r="G4" s="748" t="s">
        <v>1586</v>
      </c>
      <c r="H4" s="748" t="s">
        <v>1586</v>
      </c>
      <c r="I4" s="748" t="s">
        <v>1586</v>
      </c>
      <c r="J4" s="748" t="s">
        <v>1586</v>
      </c>
      <c r="K4" s="748" t="s">
        <v>1586</v>
      </c>
      <c r="M4" s="748" t="s">
        <v>1586</v>
      </c>
      <c r="N4" s="748" t="s">
        <v>1586</v>
      </c>
      <c r="O4" s="748" t="s">
        <v>1586</v>
      </c>
      <c r="P4" s="748" t="s">
        <v>1586</v>
      </c>
      <c r="Q4" s="748" t="s">
        <v>1586</v>
      </c>
      <c r="R4" s="748" t="s">
        <v>1586</v>
      </c>
      <c r="T4" s="754"/>
      <c r="U4" s="752" t="s">
        <v>975</v>
      </c>
      <c r="V4" s="754"/>
      <c r="W4" s="756" t="s">
        <v>975</v>
      </c>
      <c r="X4" s="752" t="s">
        <v>249</v>
      </c>
      <c r="Y4" s="752"/>
      <c r="Z4" s="754"/>
      <c r="AA4" s="754"/>
      <c r="AB4" s="754"/>
      <c r="AC4" s="752" t="s">
        <v>975</v>
      </c>
      <c r="AD4" s="754"/>
      <c r="AE4" s="754"/>
      <c r="AG4" s="374" t="s">
        <v>1587</v>
      </c>
    </row>
    <row r="5" spans="1:37" ht="24" customHeight="1">
      <c r="A5" s="748" t="s">
        <v>1586</v>
      </c>
      <c r="B5" s="748" t="s">
        <v>1586</v>
      </c>
      <c r="C5" s="748" t="s">
        <v>1586</v>
      </c>
      <c r="D5" s="748" t="s">
        <v>1586</v>
      </c>
      <c r="E5" s="374" t="s">
        <v>975</v>
      </c>
      <c r="F5" s="750" t="s">
        <v>1588</v>
      </c>
      <c r="G5" s="283" t="s">
        <v>975</v>
      </c>
      <c r="H5" s="757" t="s">
        <v>1589</v>
      </c>
      <c r="I5" s="757" t="s">
        <v>1590</v>
      </c>
      <c r="J5" s="757" t="s">
        <v>1591</v>
      </c>
      <c r="K5" s="757" t="s">
        <v>1592</v>
      </c>
      <c r="M5" s="744" t="s">
        <v>1588</v>
      </c>
      <c r="N5" s="374" t="s">
        <v>975</v>
      </c>
      <c r="O5" s="744" t="s">
        <v>1589</v>
      </c>
      <c r="P5" s="744" t="s">
        <v>1590</v>
      </c>
      <c r="Q5" s="744" t="s">
        <v>1591</v>
      </c>
      <c r="R5" s="744" t="s">
        <v>1592</v>
      </c>
      <c r="T5" s="758" t="s">
        <v>1586</v>
      </c>
      <c r="U5" s="758" t="s">
        <v>1586</v>
      </c>
      <c r="V5" s="758" t="s">
        <v>1586</v>
      </c>
      <c r="W5" s="758" t="s">
        <v>1586</v>
      </c>
      <c r="X5" s="758" t="s">
        <v>1586</v>
      </c>
      <c r="Y5" s="758" t="s">
        <v>1586</v>
      </c>
      <c r="Z5" s="758" t="s">
        <v>1586</v>
      </c>
      <c r="AA5" s="758" t="s">
        <v>1586</v>
      </c>
      <c r="AB5" s="758" t="s">
        <v>1586</v>
      </c>
      <c r="AC5" s="758" t="s">
        <v>1586</v>
      </c>
      <c r="AD5" s="758" t="s">
        <v>1586</v>
      </c>
      <c r="AE5" s="758" t="s">
        <v>1586</v>
      </c>
    </row>
    <row r="6" spans="1:37" ht="24" customHeight="1">
      <c r="A6" s="374" t="s">
        <v>694</v>
      </c>
      <c r="B6" s="374" t="s">
        <v>1589</v>
      </c>
      <c r="C6" s="374" t="s">
        <v>1590</v>
      </c>
      <c r="D6" s="374" t="s">
        <v>1591</v>
      </c>
      <c r="F6" s="748" t="s">
        <v>1586</v>
      </c>
      <c r="G6" s="748" t="s">
        <v>1586</v>
      </c>
      <c r="H6" s="748" t="s">
        <v>1586</v>
      </c>
      <c r="I6" s="748" t="s">
        <v>1586</v>
      </c>
      <c r="J6" s="748" t="s">
        <v>1586</v>
      </c>
      <c r="K6" s="748" t="s">
        <v>1586</v>
      </c>
      <c r="M6" s="748" t="s">
        <v>1586</v>
      </c>
      <c r="N6" s="748" t="s">
        <v>1586</v>
      </c>
      <c r="O6" s="748" t="s">
        <v>1586</v>
      </c>
      <c r="P6" s="748" t="s">
        <v>1586</v>
      </c>
      <c r="Q6" s="748" t="s">
        <v>1586</v>
      </c>
      <c r="R6" s="748" t="s">
        <v>1586</v>
      </c>
      <c r="T6" s="756" t="s">
        <v>694</v>
      </c>
      <c r="U6" s="756" t="s">
        <v>55</v>
      </c>
      <c r="V6" s="756" t="s">
        <v>2243</v>
      </c>
      <c r="W6" s="756" t="s">
        <v>2244</v>
      </c>
      <c r="X6" s="756" t="s">
        <v>2245</v>
      </c>
      <c r="Y6" s="756" t="s">
        <v>2246</v>
      </c>
      <c r="Z6" s="756" t="s">
        <v>2247</v>
      </c>
      <c r="AA6" s="752" t="s">
        <v>1082</v>
      </c>
      <c r="AB6" s="752" t="s">
        <v>2248</v>
      </c>
      <c r="AC6" s="752" t="s">
        <v>2249</v>
      </c>
      <c r="AD6" s="756" t="s">
        <v>2250</v>
      </c>
      <c r="AE6" s="754"/>
    </row>
    <row r="7" spans="1:37" ht="24" customHeight="1">
      <c r="A7" s="748" t="s">
        <v>1586</v>
      </c>
      <c r="B7" s="748" t="s">
        <v>1586</v>
      </c>
      <c r="C7" s="748" t="s">
        <v>1586</v>
      </c>
      <c r="D7" s="748" t="s">
        <v>1586</v>
      </c>
      <c r="G7" s="283" t="s">
        <v>2251</v>
      </c>
      <c r="H7" s="374" t="s">
        <v>2252</v>
      </c>
      <c r="O7" s="374" t="s">
        <v>2253</v>
      </c>
      <c r="T7" s="754"/>
      <c r="U7" s="754"/>
      <c r="V7" s="754"/>
      <c r="W7" s="756"/>
      <c r="X7" s="756" t="s">
        <v>2254</v>
      </c>
      <c r="Y7" s="756" t="s">
        <v>2249</v>
      </c>
      <c r="Z7" s="756" t="s">
        <v>2255</v>
      </c>
      <c r="AA7" s="752" t="s">
        <v>976</v>
      </c>
      <c r="AB7" s="752" t="s">
        <v>2256</v>
      </c>
      <c r="AC7" s="752" t="s">
        <v>2257</v>
      </c>
      <c r="AD7" s="754"/>
      <c r="AE7" s="759"/>
    </row>
    <row r="8" spans="1:37" ht="24" customHeight="1">
      <c r="B8" s="374" t="s">
        <v>2258</v>
      </c>
      <c r="H8" s="748" t="s">
        <v>1586</v>
      </c>
      <c r="O8" s="748" t="s">
        <v>1586</v>
      </c>
      <c r="T8" s="758" t="s">
        <v>1586</v>
      </c>
      <c r="U8" s="758" t="s">
        <v>1586</v>
      </c>
      <c r="V8" s="758" t="s">
        <v>1586</v>
      </c>
      <c r="W8" s="758" t="s">
        <v>1586</v>
      </c>
      <c r="X8" s="758" t="s">
        <v>1586</v>
      </c>
      <c r="Y8" s="758" t="s">
        <v>1586</v>
      </c>
      <c r="Z8" s="758" t="s">
        <v>1586</v>
      </c>
      <c r="AA8" s="758" t="s">
        <v>1083</v>
      </c>
      <c r="AB8" s="758" t="s">
        <v>1586</v>
      </c>
      <c r="AC8" s="758" t="s">
        <v>1586</v>
      </c>
      <c r="AD8" s="758" t="s">
        <v>1586</v>
      </c>
      <c r="AE8" s="758" t="s">
        <v>1586</v>
      </c>
      <c r="AG8" s="760" t="s">
        <v>5963</v>
      </c>
      <c r="AH8" s="760" t="s">
        <v>922</v>
      </c>
      <c r="AI8" s="760" t="s">
        <v>923</v>
      </c>
      <c r="AJ8" s="760" t="s">
        <v>924</v>
      </c>
      <c r="AK8" s="760" t="s">
        <v>1853</v>
      </c>
    </row>
    <row r="9" spans="1:37" ht="24" customHeight="1">
      <c r="B9" s="374" t="s">
        <v>860</v>
      </c>
      <c r="F9" s="283">
        <v>0.96</v>
      </c>
      <c r="G9" s="283" t="s">
        <v>861</v>
      </c>
      <c r="H9" s="374" t="s">
        <v>862</v>
      </c>
      <c r="I9" s="283">
        <f>(C68)</f>
        <v>6040</v>
      </c>
      <c r="J9" s="374" t="s">
        <v>861</v>
      </c>
      <c r="K9" s="283">
        <f>(F9*I9)</f>
        <v>5798.4</v>
      </c>
      <c r="M9" s="283">
        <v>0.5</v>
      </c>
      <c r="N9" s="374" t="s">
        <v>861</v>
      </c>
      <c r="O9" s="374" t="s">
        <v>863</v>
      </c>
      <c r="P9" s="283">
        <f>(C86)</f>
        <v>1113.94</v>
      </c>
      <c r="Q9" s="374" t="s">
        <v>861</v>
      </c>
      <c r="R9" s="283">
        <f>(M9*P9)</f>
        <v>556.97</v>
      </c>
      <c r="T9" s="756" t="s">
        <v>864</v>
      </c>
      <c r="U9" s="752" t="s">
        <v>5802</v>
      </c>
      <c r="V9" s="752" t="s">
        <v>866</v>
      </c>
      <c r="W9" s="756" t="s">
        <v>6488</v>
      </c>
      <c r="X9" s="754">
        <f>'lead  charge'!D12</f>
        <v>8</v>
      </c>
      <c r="Y9" s="754">
        <v>449.4</v>
      </c>
      <c r="Z9" s="761">
        <f>'lead  charge'!E12</f>
        <v>93.2</v>
      </c>
      <c r="AA9" s="756"/>
      <c r="AB9" s="752">
        <v>0</v>
      </c>
      <c r="AC9" s="752">
        <f>SUM(Y9+Z9+AA9+AB9)</f>
        <v>542.6</v>
      </c>
      <c r="AD9" s="752" t="s">
        <v>6008</v>
      </c>
      <c r="AE9" s="754">
        <f>AF9</f>
        <v>999</v>
      </c>
      <c r="AF9" s="283">
        <v>999</v>
      </c>
      <c r="AG9" s="283">
        <f>AF9*1.1</f>
        <v>1098.9000000000001</v>
      </c>
      <c r="AH9" s="283">
        <f>AF9*1.2</f>
        <v>1198.8</v>
      </c>
      <c r="AI9" s="283">
        <f>AF9*1.5</f>
        <v>1498.5</v>
      </c>
      <c r="AJ9" s="283">
        <f>AF9*1.05</f>
        <v>1048.95</v>
      </c>
      <c r="AK9" s="283">
        <f>AF9*1.25</f>
        <v>1248.75</v>
      </c>
    </row>
    <row r="10" spans="1:37" ht="24" customHeight="1">
      <c r="A10" s="792">
        <v>1</v>
      </c>
      <c r="B10" s="374" t="s">
        <v>867</v>
      </c>
      <c r="C10" s="283">
        <f>AE9</f>
        <v>999</v>
      </c>
      <c r="D10" s="374" t="s">
        <v>868</v>
      </c>
      <c r="F10" s="283">
        <v>1</v>
      </c>
      <c r="G10" s="283" t="s">
        <v>869</v>
      </c>
      <c r="H10" s="374" t="s">
        <v>870</v>
      </c>
      <c r="I10" s="283">
        <f>(C79)</f>
        <v>2074.06</v>
      </c>
      <c r="J10" s="374" t="s">
        <v>869</v>
      </c>
      <c r="K10" s="283">
        <f>(F10*I10)</f>
        <v>2074.06</v>
      </c>
      <c r="M10" s="283">
        <v>1</v>
      </c>
      <c r="N10" s="374" t="s">
        <v>869</v>
      </c>
      <c r="O10" s="374" t="s">
        <v>870</v>
      </c>
      <c r="P10" s="283">
        <f>(C79)</f>
        <v>2074.06</v>
      </c>
      <c r="Q10" s="374" t="s">
        <v>869</v>
      </c>
      <c r="R10" s="283">
        <f>(M10*P10)</f>
        <v>2074.06</v>
      </c>
      <c r="T10" s="756" t="s">
        <v>871</v>
      </c>
      <c r="U10" s="752" t="s">
        <v>5803</v>
      </c>
      <c r="V10" s="752" t="s">
        <v>866</v>
      </c>
      <c r="W10" s="756" t="str">
        <f t="shared" ref="W10:W15" si="0">W9</f>
        <v>Allappanur</v>
      </c>
      <c r="X10" s="754">
        <f>'lead  charge'!D12</f>
        <v>8</v>
      </c>
      <c r="Y10" s="754">
        <v>648.4</v>
      </c>
      <c r="Z10" s="761">
        <f>Z9</f>
        <v>93.2</v>
      </c>
      <c r="AA10" s="756"/>
      <c r="AB10" s="752">
        <v>0</v>
      </c>
      <c r="AC10" s="752">
        <f t="shared" ref="AC10:AC36" si="1">SUM(Y10+Z10+AA10+AB10)</f>
        <v>741.6</v>
      </c>
      <c r="AD10" s="752" t="s">
        <v>6009</v>
      </c>
      <c r="AE10" s="754">
        <f t="shared" ref="AE10:AE74" si="2">AF10</f>
        <v>932</v>
      </c>
      <c r="AF10" s="283">
        <v>932</v>
      </c>
      <c r="AG10" s="283">
        <f t="shared" ref="AG10:AG74" si="3">AF10*1.1</f>
        <v>1025.2</v>
      </c>
      <c r="AH10" s="283">
        <f t="shared" ref="AH10:AH74" si="4">AF10*1.2</f>
        <v>1118.4000000000001</v>
      </c>
      <c r="AI10" s="283">
        <f t="shared" ref="AI10:AI74" si="5">AF10*1.5</f>
        <v>1398</v>
      </c>
      <c r="AJ10" s="283">
        <f t="shared" ref="AJ10:AJ74" si="6">AF10*1.05</f>
        <v>978.6</v>
      </c>
      <c r="AK10" s="283">
        <f t="shared" ref="AK10:AK74" si="7">AF10*1.25</f>
        <v>1165</v>
      </c>
    </row>
    <row r="11" spans="1:37" ht="24" customHeight="1">
      <c r="A11" s="792">
        <f t="shared" ref="A11:A35" si="8">(A10+1)</f>
        <v>2</v>
      </c>
      <c r="B11" s="374" t="s">
        <v>873</v>
      </c>
      <c r="C11" s="283">
        <f>AE10</f>
        <v>932</v>
      </c>
      <c r="D11" s="374">
        <f>AE9</f>
        <v>999</v>
      </c>
      <c r="F11" s="283">
        <v>1</v>
      </c>
      <c r="G11" s="283" t="s">
        <v>869</v>
      </c>
      <c r="H11" s="374" t="s">
        <v>874</v>
      </c>
      <c r="I11" s="283">
        <f>(C18)</f>
        <v>116</v>
      </c>
      <c r="J11" s="374" t="s">
        <v>869</v>
      </c>
      <c r="K11" s="283">
        <f>(F11*I11)</f>
        <v>116</v>
      </c>
      <c r="M11" s="283">
        <v>1</v>
      </c>
      <c r="N11" s="374" t="s">
        <v>869</v>
      </c>
      <c r="O11" s="374" t="s">
        <v>875</v>
      </c>
      <c r="P11" s="283">
        <f>(C65)</f>
        <v>280.60000000000002</v>
      </c>
      <c r="Q11" s="374" t="s">
        <v>869</v>
      </c>
      <c r="R11" s="283">
        <f>(M11*P11)</f>
        <v>280.60000000000002</v>
      </c>
      <c r="T11" s="756" t="s">
        <v>876</v>
      </c>
      <c r="U11" s="752" t="s">
        <v>5804</v>
      </c>
      <c r="V11" s="752" t="s">
        <v>866</v>
      </c>
      <c r="W11" s="756" t="str">
        <f t="shared" si="0"/>
        <v>Allappanur</v>
      </c>
      <c r="X11" s="754">
        <f>'lead  charge'!D10:D10</f>
        <v>8</v>
      </c>
      <c r="Y11" s="754">
        <v>773.67</v>
      </c>
      <c r="Z11" s="761">
        <f>'lead  charge'!E10</f>
        <v>93.2</v>
      </c>
      <c r="AA11" s="756"/>
      <c r="AB11" s="752">
        <v>0</v>
      </c>
      <c r="AC11" s="752">
        <f t="shared" si="1"/>
        <v>866.87</v>
      </c>
      <c r="AD11" s="752" t="s">
        <v>6012</v>
      </c>
      <c r="AE11" s="754">
        <f t="shared" si="2"/>
        <v>651</v>
      </c>
      <c r="AF11" s="283">
        <v>651</v>
      </c>
      <c r="AG11" s="283">
        <f t="shared" si="3"/>
        <v>716.1</v>
      </c>
      <c r="AH11" s="283">
        <f t="shared" si="4"/>
        <v>781.2</v>
      </c>
      <c r="AI11" s="283">
        <f t="shared" si="5"/>
        <v>976.5</v>
      </c>
      <c r="AJ11" s="283">
        <f t="shared" si="6"/>
        <v>683.55</v>
      </c>
      <c r="AK11" s="283">
        <f t="shared" si="7"/>
        <v>813.75</v>
      </c>
    </row>
    <row r="12" spans="1:37" ht="24" customHeight="1">
      <c r="A12" s="792">
        <f t="shared" si="8"/>
        <v>3</v>
      </c>
      <c r="B12" s="374" t="s">
        <v>448</v>
      </c>
      <c r="C12" s="283">
        <f>AE11</f>
        <v>651</v>
      </c>
      <c r="D12" s="374" t="s">
        <v>868</v>
      </c>
      <c r="G12" s="283" t="s">
        <v>449</v>
      </c>
      <c r="H12" s="374" t="s">
        <v>450</v>
      </c>
      <c r="I12" s="374" t="s">
        <v>975</v>
      </c>
      <c r="J12" s="374" t="s">
        <v>449</v>
      </c>
      <c r="K12" s="283">
        <v>0</v>
      </c>
      <c r="N12" s="374" t="s">
        <v>449</v>
      </c>
      <c r="O12" s="374" t="s">
        <v>450</v>
      </c>
      <c r="P12" s="374" t="s">
        <v>975</v>
      </c>
      <c r="Q12" s="374" t="s">
        <v>449</v>
      </c>
      <c r="R12" s="283">
        <v>0</v>
      </c>
      <c r="T12" s="756" t="s">
        <v>451</v>
      </c>
      <c r="U12" s="752" t="s">
        <v>1509</v>
      </c>
      <c r="V12" s="752" t="s">
        <v>866</v>
      </c>
      <c r="W12" s="756" t="str">
        <f t="shared" si="0"/>
        <v>Allappanur</v>
      </c>
      <c r="X12" s="754">
        <f>X11</f>
        <v>8</v>
      </c>
      <c r="Y12" s="754">
        <v>1016</v>
      </c>
      <c r="Z12" s="761">
        <f>Z11</f>
        <v>93.2</v>
      </c>
      <c r="AA12" s="756"/>
      <c r="AB12" s="752">
        <v>0</v>
      </c>
      <c r="AC12" s="752">
        <f t="shared" si="1"/>
        <v>1109.2</v>
      </c>
      <c r="AD12" s="752" t="s">
        <v>6013</v>
      </c>
      <c r="AE12" s="754">
        <f t="shared" si="2"/>
        <v>534</v>
      </c>
      <c r="AF12" s="283">
        <v>534</v>
      </c>
      <c r="AG12" s="283">
        <f t="shared" si="3"/>
        <v>587.4</v>
      </c>
      <c r="AH12" s="283">
        <f t="shared" si="4"/>
        <v>640.79999999999995</v>
      </c>
      <c r="AI12" s="283">
        <f t="shared" si="5"/>
        <v>801</v>
      </c>
      <c r="AJ12" s="283">
        <f t="shared" si="6"/>
        <v>560.70000000000005</v>
      </c>
      <c r="AK12" s="283">
        <f t="shared" si="7"/>
        <v>667.5</v>
      </c>
    </row>
    <row r="13" spans="1:37" ht="24" customHeight="1">
      <c r="A13" s="792">
        <f t="shared" si="8"/>
        <v>4</v>
      </c>
      <c r="B13" s="374" t="s">
        <v>1511</v>
      </c>
      <c r="C13" s="283">
        <f>AE12</f>
        <v>534</v>
      </c>
      <c r="D13" s="374" t="s">
        <v>868</v>
      </c>
      <c r="K13" s="748" t="s">
        <v>1586</v>
      </c>
      <c r="R13" s="748" t="s">
        <v>1586</v>
      </c>
      <c r="T13" s="756" t="s">
        <v>1512</v>
      </c>
      <c r="U13" s="752" t="s">
        <v>1513</v>
      </c>
      <c r="V13" s="752" t="s">
        <v>866</v>
      </c>
      <c r="W13" s="756" t="str">
        <f t="shared" si="0"/>
        <v>Allappanur</v>
      </c>
      <c r="X13" s="754">
        <f>X11</f>
        <v>8</v>
      </c>
      <c r="Y13" s="754">
        <v>1382</v>
      </c>
      <c r="Z13" s="761">
        <f>Z12</f>
        <v>93.2</v>
      </c>
      <c r="AA13" s="756"/>
      <c r="AB13" s="752">
        <v>0</v>
      </c>
      <c r="AC13" s="752">
        <f t="shared" si="1"/>
        <v>1475.2</v>
      </c>
      <c r="AD13" s="752" t="s">
        <v>6010</v>
      </c>
      <c r="AE13" s="754">
        <f t="shared" si="2"/>
        <v>797</v>
      </c>
      <c r="AF13" s="283">
        <v>797</v>
      </c>
      <c r="AG13" s="283">
        <f t="shared" si="3"/>
        <v>876.7</v>
      </c>
      <c r="AH13" s="283">
        <f t="shared" si="4"/>
        <v>956.4</v>
      </c>
      <c r="AI13" s="283">
        <f t="shared" si="5"/>
        <v>1195.5</v>
      </c>
      <c r="AJ13" s="283">
        <f t="shared" si="6"/>
        <v>836.85</v>
      </c>
      <c r="AK13" s="283">
        <f t="shared" si="7"/>
        <v>996.25</v>
      </c>
    </row>
    <row r="14" spans="1:37" ht="24" customHeight="1">
      <c r="A14" s="792">
        <f t="shared" si="8"/>
        <v>5</v>
      </c>
      <c r="B14" s="374" t="s">
        <v>1515</v>
      </c>
      <c r="C14" s="283">
        <f>AE13</f>
        <v>797</v>
      </c>
      <c r="D14" s="283">
        <f>AE14</f>
        <v>772</v>
      </c>
      <c r="H14" s="374" t="s">
        <v>1516</v>
      </c>
      <c r="K14" s="751">
        <f>SUM(K9:K12)</f>
        <v>7988.46</v>
      </c>
      <c r="N14" s="283">
        <f>SUM(K9:K12)</f>
        <v>7988.46</v>
      </c>
      <c r="O14" s="374" t="s">
        <v>1516</v>
      </c>
      <c r="R14" s="283">
        <f>SUM(R9:R12)</f>
        <v>2911.63</v>
      </c>
      <c r="T14" s="756" t="s">
        <v>2008</v>
      </c>
      <c r="U14" s="752" t="s">
        <v>112</v>
      </c>
      <c r="V14" s="752" t="s">
        <v>866</v>
      </c>
      <c r="W14" s="756" t="str">
        <f t="shared" si="0"/>
        <v>Allappanur</v>
      </c>
      <c r="X14" s="754">
        <f>X11</f>
        <v>8</v>
      </c>
      <c r="Y14" s="754">
        <v>1489</v>
      </c>
      <c r="Z14" s="761">
        <f>Z13</f>
        <v>93.2</v>
      </c>
      <c r="AA14" s="756"/>
      <c r="AB14" s="752">
        <v>0</v>
      </c>
      <c r="AC14" s="752">
        <f t="shared" si="1"/>
        <v>1582.2</v>
      </c>
      <c r="AD14" s="752" t="s">
        <v>6014</v>
      </c>
      <c r="AE14" s="754">
        <f t="shared" si="2"/>
        <v>772</v>
      </c>
      <c r="AF14" s="283">
        <v>772</v>
      </c>
      <c r="AG14" s="283">
        <f t="shared" si="3"/>
        <v>849.2</v>
      </c>
      <c r="AH14" s="283">
        <f t="shared" si="4"/>
        <v>926.4</v>
      </c>
      <c r="AI14" s="283">
        <f t="shared" si="5"/>
        <v>1158</v>
      </c>
      <c r="AJ14" s="283">
        <f t="shared" si="6"/>
        <v>810.6</v>
      </c>
      <c r="AK14" s="283">
        <f t="shared" si="7"/>
        <v>965</v>
      </c>
    </row>
    <row r="15" spans="1:37" ht="24" customHeight="1">
      <c r="A15" s="792">
        <f t="shared" si="8"/>
        <v>6</v>
      </c>
      <c r="B15" s="374" t="s">
        <v>114</v>
      </c>
      <c r="C15" s="283">
        <f>AE15</f>
        <v>866</v>
      </c>
      <c r="D15" s="374" t="s">
        <v>868</v>
      </c>
      <c r="K15" s="748" t="s">
        <v>1586</v>
      </c>
      <c r="R15" s="748" t="s">
        <v>1586</v>
      </c>
      <c r="T15" s="756" t="s">
        <v>115</v>
      </c>
      <c r="U15" s="752" t="s">
        <v>116</v>
      </c>
      <c r="V15" s="752" t="s">
        <v>866</v>
      </c>
      <c r="W15" s="756" t="str">
        <f t="shared" si="0"/>
        <v>Allappanur</v>
      </c>
      <c r="X15" s="754">
        <f>X11</f>
        <v>8</v>
      </c>
      <c r="Y15" s="754">
        <v>1069.8</v>
      </c>
      <c r="Z15" s="761">
        <f>Z14</f>
        <v>93.2</v>
      </c>
      <c r="AA15" s="756"/>
      <c r="AB15" s="752">
        <v>0</v>
      </c>
      <c r="AC15" s="752">
        <f t="shared" si="1"/>
        <v>1163</v>
      </c>
      <c r="AD15" s="752" t="s">
        <v>6011</v>
      </c>
      <c r="AE15" s="754">
        <f t="shared" si="2"/>
        <v>866</v>
      </c>
      <c r="AF15" s="283">
        <v>866</v>
      </c>
      <c r="AG15" s="283">
        <f t="shared" si="3"/>
        <v>952.6</v>
      </c>
      <c r="AH15" s="283">
        <f t="shared" si="4"/>
        <v>1039.2</v>
      </c>
      <c r="AI15" s="283">
        <f t="shared" si="5"/>
        <v>1299</v>
      </c>
      <c r="AJ15" s="283">
        <f t="shared" si="6"/>
        <v>909.3</v>
      </c>
      <c r="AK15" s="283">
        <f t="shared" si="7"/>
        <v>1082.5</v>
      </c>
    </row>
    <row r="16" spans="1:37" ht="24" customHeight="1">
      <c r="A16" s="792">
        <f t="shared" si="8"/>
        <v>7</v>
      </c>
      <c r="B16" s="374" t="s">
        <v>118</v>
      </c>
      <c r="C16" s="283">
        <f>AE19</f>
        <v>976</v>
      </c>
      <c r="D16" s="283">
        <f>AE20</f>
        <v>932</v>
      </c>
      <c r="G16" s="283" t="s">
        <v>2251</v>
      </c>
      <c r="H16" s="374" t="s">
        <v>119</v>
      </c>
      <c r="N16" s="374" t="s">
        <v>2251</v>
      </c>
      <c r="O16" s="374" t="s">
        <v>120</v>
      </c>
      <c r="T16" s="756" t="s">
        <v>121</v>
      </c>
      <c r="U16" s="752" t="s">
        <v>4563</v>
      </c>
      <c r="V16" s="752" t="s">
        <v>866</v>
      </c>
      <c r="W16" s="756" t="s">
        <v>6489</v>
      </c>
      <c r="X16" s="754">
        <f>'lead  charge'!D11</f>
        <v>84</v>
      </c>
      <c r="Y16" s="753">
        <v>1338</v>
      </c>
      <c r="Z16" s="761">
        <f>'lead  charge'!E11</f>
        <v>736.06</v>
      </c>
      <c r="AA16" s="756"/>
      <c r="AB16" s="752">
        <v>0</v>
      </c>
      <c r="AC16" s="752">
        <f t="shared" si="1"/>
        <v>2074.06</v>
      </c>
      <c r="AD16" s="752" t="s">
        <v>6015</v>
      </c>
      <c r="AE16" s="754">
        <f t="shared" si="2"/>
        <v>839</v>
      </c>
      <c r="AF16" s="283">
        <v>839</v>
      </c>
      <c r="AG16" s="283">
        <f t="shared" si="3"/>
        <v>922.9</v>
      </c>
      <c r="AH16" s="283">
        <f t="shared" si="4"/>
        <v>1006.8</v>
      </c>
      <c r="AI16" s="283">
        <f t="shared" si="5"/>
        <v>1258.5</v>
      </c>
      <c r="AJ16" s="283">
        <f t="shared" si="6"/>
        <v>880.95</v>
      </c>
      <c r="AK16" s="283">
        <f t="shared" si="7"/>
        <v>1048.75</v>
      </c>
    </row>
    <row r="17" spans="1:37" ht="24" customHeight="1">
      <c r="A17" s="792">
        <f t="shared" si="8"/>
        <v>8</v>
      </c>
      <c r="B17" s="374" t="s">
        <v>4017</v>
      </c>
      <c r="C17" s="283">
        <f>AE17</f>
        <v>881</v>
      </c>
      <c r="D17" s="283">
        <f>AE18</f>
        <v>856</v>
      </c>
      <c r="H17" s="748" t="s">
        <v>1586</v>
      </c>
      <c r="O17" s="374" t="s">
        <v>1032</v>
      </c>
      <c r="T17" s="756" t="s">
        <v>1033</v>
      </c>
      <c r="U17" s="752" t="s">
        <v>5805</v>
      </c>
      <c r="V17" s="752" t="s">
        <v>866</v>
      </c>
      <c r="W17" s="756" t="str">
        <f>W16</f>
        <v>Chithatur(Cheyyar)</v>
      </c>
      <c r="X17" s="754">
        <f>X16</f>
        <v>84</v>
      </c>
      <c r="Y17" s="753">
        <f>Y16</f>
        <v>1338</v>
      </c>
      <c r="Z17" s="761">
        <f>Z16</f>
        <v>736.06</v>
      </c>
      <c r="AA17" s="756"/>
      <c r="AB17" s="752">
        <v>0</v>
      </c>
      <c r="AC17" s="752">
        <f t="shared" si="1"/>
        <v>2074.06</v>
      </c>
      <c r="AD17" s="752" t="s">
        <v>6016</v>
      </c>
      <c r="AE17" s="754">
        <f t="shared" si="2"/>
        <v>881</v>
      </c>
      <c r="AF17" s="283">
        <v>881</v>
      </c>
      <c r="AG17" s="283">
        <f t="shared" si="3"/>
        <v>969.1</v>
      </c>
      <c r="AH17" s="283">
        <f t="shared" si="4"/>
        <v>1057.2</v>
      </c>
      <c r="AI17" s="283">
        <f t="shared" si="5"/>
        <v>1321.5</v>
      </c>
      <c r="AJ17" s="283">
        <f t="shared" si="6"/>
        <v>925.05</v>
      </c>
      <c r="AK17" s="283">
        <f t="shared" si="7"/>
        <v>1101.25</v>
      </c>
    </row>
    <row r="18" spans="1:37" ht="24" customHeight="1">
      <c r="A18" s="792">
        <f t="shared" si="8"/>
        <v>9</v>
      </c>
      <c r="B18" s="374" t="s">
        <v>4018</v>
      </c>
      <c r="C18" s="283">
        <f>AE24</f>
        <v>116</v>
      </c>
      <c r="D18" s="374" t="s">
        <v>1037</v>
      </c>
      <c r="F18" s="283">
        <v>0.72</v>
      </c>
      <c r="G18" s="283" t="s">
        <v>861</v>
      </c>
      <c r="H18" s="374" t="s">
        <v>862</v>
      </c>
      <c r="I18" s="283">
        <f>(C68)</f>
        <v>6040</v>
      </c>
      <c r="J18" s="374" t="s">
        <v>861</v>
      </c>
      <c r="K18" s="283">
        <f>(F18*I18)</f>
        <v>4348.8</v>
      </c>
      <c r="O18" s="374" t="s">
        <v>1444</v>
      </c>
      <c r="T18" s="756" t="s">
        <v>1445</v>
      </c>
      <c r="U18" s="752" t="s">
        <v>5806</v>
      </c>
      <c r="V18" s="752" t="s">
        <v>1446</v>
      </c>
      <c r="W18" s="756" t="s">
        <v>6490</v>
      </c>
      <c r="X18" s="754">
        <f>'lead  charge'!G10</f>
        <v>14</v>
      </c>
      <c r="Y18" s="754">
        <v>5709</v>
      </c>
      <c r="Z18" s="761">
        <f>'lead  charge'!H10</f>
        <v>131.84</v>
      </c>
      <c r="AA18" s="756"/>
      <c r="AB18" s="752">
        <v>0</v>
      </c>
      <c r="AC18" s="752">
        <f t="shared" si="1"/>
        <v>5840.84</v>
      </c>
      <c r="AD18" s="752" t="s">
        <v>6017</v>
      </c>
      <c r="AE18" s="754">
        <f t="shared" si="2"/>
        <v>856</v>
      </c>
      <c r="AF18" s="283">
        <v>856</v>
      </c>
      <c r="AG18" s="283">
        <f t="shared" si="3"/>
        <v>941.6</v>
      </c>
      <c r="AH18" s="283">
        <f t="shared" si="4"/>
        <v>1027.2</v>
      </c>
      <c r="AI18" s="283">
        <f t="shared" si="5"/>
        <v>1284</v>
      </c>
      <c r="AJ18" s="283">
        <f t="shared" si="6"/>
        <v>898.8</v>
      </c>
      <c r="AK18" s="283">
        <f t="shared" si="7"/>
        <v>1070</v>
      </c>
    </row>
    <row r="19" spans="1:37" ht="24" customHeight="1">
      <c r="A19" s="792">
        <f t="shared" si="8"/>
        <v>10</v>
      </c>
      <c r="B19" s="374" t="s">
        <v>4571</v>
      </c>
      <c r="C19" s="283">
        <f t="shared" ref="C19:C24" si="9">AE41</f>
        <v>78.900000000000006</v>
      </c>
      <c r="D19" s="374" t="s">
        <v>869</v>
      </c>
      <c r="F19" s="283">
        <v>1</v>
      </c>
      <c r="G19" s="283" t="s">
        <v>869</v>
      </c>
      <c r="H19" s="374" t="s">
        <v>870</v>
      </c>
      <c r="I19" s="283">
        <f>I36</f>
        <v>2074.06</v>
      </c>
      <c r="J19" s="374" t="s">
        <v>869</v>
      </c>
      <c r="K19" s="283">
        <f>(F19*I19)</f>
        <v>2074.06</v>
      </c>
      <c r="O19" s="374" t="s">
        <v>71</v>
      </c>
      <c r="T19" s="756" t="s">
        <v>72</v>
      </c>
      <c r="U19" s="752" t="s">
        <v>5807</v>
      </c>
      <c r="V19" s="752" t="s">
        <v>869</v>
      </c>
      <c r="W19" s="756" t="str">
        <f>W18</f>
        <v>Muraiyar</v>
      </c>
      <c r="X19" s="754">
        <f>'lead  charge'!P10</f>
        <v>14</v>
      </c>
      <c r="Y19" s="754">
        <v>705</v>
      </c>
      <c r="Z19" s="761">
        <f>'lead  charge'!Q10</f>
        <v>107.26</v>
      </c>
      <c r="AA19" s="756"/>
      <c r="AB19" s="752">
        <v>0</v>
      </c>
      <c r="AC19" s="752">
        <f t="shared" si="1"/>
        <v>812.26</v>
      </c>
      <c r="AD19" s="752" t="s">
        <v>6018</v>
      </c>
      <c r="AE19" s="754">
        <f t="shared" si="2"/>
        <v>976</v>
      </c>
      <c r="AF19" s="283">
        <v>976</v>
      </c>
      <c r="AG19" s="283">
        <f t="shared" si="3"/>
        <v>1073.5999999999999</v>
      </c>
      <c r="AH19" s="283">
        <f t="shared" si="4"/>
        <v>1171.2</v>
      </c>
      <c r="AI19" s="283">
        <f t="shared" si="5"/>
        <v>1464</v>
      </c>
      <c r="AJ19" s="283">
        <f t="shared" si="6"/>
        <v>1024.8</v>
      </c>
      <c r="AK19" s="283">
        <f t="shared" si="7"/>
        <v>1220</v>
      </c>
    </row>
    <row r="20" spans="1:37" ht="24" customHeight="1">
      <c r="A20" s="792">
        <f t="shared" si="8"/>
        <v>11</v>
      </c>
      <c r="B20" s="374" t="s">
        <v>374</v>
      </c>
      <c r="C20" s="283">
        <f t="shared" si="9"/>
        <v>159.19999999999999</v>
      </c>
      <c r="D20" s="374" t="s">
        <v>869</v>
      </c>
      <c r="F20" s="283">
        <v>1</v>
      </c>
      <c r="G20" s="283" t="s">
        <v>869</v>
      </c>
      <c r="H20" s="374" t="s">
        <v>874</v>
      </c>
      <c r="I20" s="283">
        <f>(C18)</f>
        <v>116</v>
      </c>
      <c r="J20" s="374" t="s">
        <v>869</v>
      </c>
      <c r="K20" s="283">
        <f>(F20*I20)</f>
        <v>116</v>
      </c>
      <c r="O20" s="374" t="s">
        <v>1044</v>
      </c>
      <c r="T20" s="756" t="s">
        <v>1971</v>
      </c>
      <c r="U20" s="752" t="s">
        <v>1972</v>
      </c>
      <c r="V20" s="752" t="s">
        <v>869</v>
      </c>
      <c r="W20" s="756" t="str">
        <f>W18</f>
        <v>Muraiyar</v>
      </c>
      <c r="X20" s="754">
        <f>X19</f>
        <v>14</v>
      </c>
      <c r="Y20" s="754">
        <v>786</v>
      </c>
      <c r="Z20" s="761">
        <f>Z19</f>
        <v>107.26</v>
      </c>
      <c r="AA20" s="756"/>
      <c r="AB20" s="752">
        <v>0</v>
      </c>
      <c r="AC20" s="752">
        <f t="shared" si="1"/>
        <v>893.26</v>
      </c>
      <c r="AD20" s="752" t="s">
        <v>6019</v>
      </c>
      <c r="AE20" s="754">
        <f t="shared" si="2"/>
        <v>932</v>
      </c>
      <c r="AF20" s="283">
        <v>932</v>
      </c>
      <c r="AG20" s="283">
        <f t="shared" si="3"/>
        <v>1025.2</v>
      </c>
      <c r="AH20" s="283">
        <f t="shared" si="4"/>
        <v>1118.4000000000001</v>
      </c>
      <c r="AI20" s="283">
        <f t="shared" si="5"/>
        <v>1398</v>
      </c>
      <c r="AJ20" s="283">
        <f t="shared" si="6"/>
        <v>978.6</v>
      </c>
      <c r="AK20" s="283">
        <f t="shared" si="7"/>
        <v>1165</v>
      </c>
    </row>
    <row r="21" spans="1:37" ht="24" customHeight="1">
      <c r="A21" s="792">
        <f t="shared" si="8"/>
        <v>12</v>
      </c>
      <c r="B21" s="374" t="s">
        <v>2262</v>
      </c>
      <c r="C21" s="283">
        <f t="shared" si="9"/>
        <v>159.19999999999999</v>
      </c>
      <c r="D21" s="374" t="s">
        <v>869</v>
      </c>
      <c r="G21" s="283" t="s">
        <v>449</v>
      </c>
      <c r="H21" s="374" t="s">
        <v>450</v>
      </c>
      <c r="I21" s="374" t="s">
        <v>975</v>
      </c>
      <c r="J21" s="374" t="s">
        <v>449</v>
      </c>
      <c r="K21" s="283">
        <v>0</v>
      </c>
      <c r="O21" s="748" t="s">
        <v>1586</v>
      </c>
      <c r="T21" s="756" t="s">
        <v>2263</v>
      </c>
      <c r="U21" s="752" t="s">
        <v>5808</v>
      </c>
      <c r="V21" s="752" t="s">
        <v>1446</v>
      </c>
      <c r="W21" s="756" t="s">
        <v>6491</v>
      </c>
      <c r="X21" s="754">
        <f>'lead  charge'!J12</f>
        <v>16</v>
      </c>
      <c r="Y21" s="754">
        <v>16106</v>
      </c>
      <c r="Z21" s="761">
        <f>'lead  charge'!K11</f>
        <v>0</v>
      </c>
      <c r="AA21" s="756"/>
      <c r="AB21" s="752">
        <v>0</v>
      </c>
      <c r="AC21" s="752">
        <f t="shared" si="1"/>
        <v>16106</v>
      </c>
      <c r="AD21" s="752" t="s">
        <v>6020</v>
      </c>
      <c r="AE21" s="754">
        <f t="shared" si="2"/>
        <v>766</v>
      </c>
      <c r="AF21" s="283">
        <v>766</v>
      </c>
      <c r="AG21" s="283">
        <f t="shared" si="3"/>
        <v>842.6</v>
      </c>
      <c r="AH21" s="283">
        <f t="shared" si="4"/>
        <v>919.2</v>
      </c>
      <c r="AI21" s="283">
        <f t="shared" si="5"/>
        <v>1149</v>
      </c>
      <c r="AJ21" s="283">
        <f t="shared" si="6"/>
        <v>804.3</v>
      </c>
      <c r="AK21" s="283">
        <f t="shared" si="7"/>
        <v>957.5</v>
      </c>
    </row>
    <row r="22" spans="1:37" ht="24" customHeight="1">
      <c r="A22" s="792">
        <f t="shared" si="8"/>
        <v>13</v>
      </c>
      <c r="B22" s="374" t="s">
        <v>4572</v>
      </c>
      <c r="C22" s="283">
        <f t="shared" si="9"/>
        <v>119.85</v>
      </c>
      <c r="D22" s="374" t="s">
        <v>869</v>
      </c>
      <c r="K22" s="748" t="s">
        <v>1586</v>
      </c>
      <c r="M22" s="283">
        <v>1</v>
      </c>
      <c r="N22" s="374" t="s">
        <v>869</v>
      </c>
      <c r="O22" s="374" t="s">
        <v>2002</v>
      </c>
      <c r="P22" s="283">
        <f>C80</f>
        <v>2074.06</v>
      </c>
      <c r="Q22" s="374" t="s">
        <v>869</v>
      </c>
      <c r="R22" s="283">
        <f>(M22*P22)</f>
        <v>2074.06</v>
      </c>
      <c r="T22" s="756" t="s">
        <v>2003</v>
      </c>
      <c r="U22" s="752" t="s">
        <v>5809</v>
      </c>
      <c r="V22" s="752" t="s">
        <v>866</v>
      </c>
      <c r="W22" s="756" t="str">
        <f>W21</f>
        <v>Thiruvannamalai</v>
      </c>
      <c r="X22" s="754">
        <f>'lead  charge'!P11</f>
        <v>16</v>
      </c>
      <c r="Y22" s="754">
        <v>1348</v>
      </c>
      <c r="Z22" s="761"/>
      <c r="AA22" s="756"/>
      <c r="AB22" s="752">
        <v>0</v>
      </c>
      <c r="AC22" s="752">
        <f t="shared" si="1"/>
        <v>1348</v>
      </c>
      <c r="AD22" s="752" t="s">
        <v>2005</v>
      </c>
      <c r="AE22" s="754">
        <f t="shared" si="2"/>
        <v>738</v>
      </c>
      <c r="AF22" s="283">
        <v>738</v>
      </c>
      <c r="AG22" s="283">
        <f t="shared" si="3"/>
        <v>811.8</v>
      </c>
      <c r="AH22" s="283">
        <f t="shared" si="4"/>
        <v>885.6</v>
      </c>
      <c r="AI22" s="283">
        <f t="shared" si="5"/>
        <v>1107</v>
      </c>
      <c r="AJ22" s="283">
        <f t="shared" si="6"/>
        <v>774.9</v>
      </c>
      <c r="AK22" s="283">
        <f t="shared" si="7"/>
        <v>922.5</v>
      </c>
    </row>
    <row r="23" spans="1:37" ht="24" customHeight="1">
      <c r="A23" s="792">
        <f t="shared" si="8"/>
        <v>14</v>
      </c>
      <c r="B23" s="374" t="s">
        <v>285</v>
      </c>
      <c r="C23" s="283">
        <f t="shared" si="9"/>
        <v>236.1</v>
      </c>
      <c r="D23" s="374" t="s">
        <v>869</v>
      </c>
      <c r="H23" s="374" t="s">
        <v>1516</v>
      </c>
      <c r="K23" s="751">
        <f>SUM(K18:K21)</f>
        <v>6538.86</v>
      </c>
      <c r="M23" s="283">
        <v>1</v>
      </c>
      <c r="N23" s="374" t="s">
        <v>869</v>
      </c>
      <c r="O23" s="374" t="s">
        <v>286</v>
      </c>
      <c r="P23" s="283">
        <f>C86</f>
        <v>1113.94</v>
      </c>
      <c r="Q23" s="374" t="s">
        <v>869</v>
      </c>
      <c r="R23" s="283">
        <f>(M23*P23)</f>
        <v>1113.94</v>
      </c>
      <c r="T23" s="756" t="s">
        <v>828</v>
      </c>
      <c r="U23" s="752" t="s">
        <v>4564</v>
      </c>
      <c r="V23" s="752" t="s">
        <v>866</v>
      </c>
      <c r="W23" s="756" t="str">
        <f>W22</f>
        <v>Thiruvannamalai</v>
      </c>
      <c r="X23" s="754">
        <f>'lead  charge'!P11</f>
        <v>16</v>
      </c>
      <c r="Y23" s="754">
        <v>993</v>
      </c>
      <c r="Z23" s="761">
        <f>'lead  charge'!Q11</f>
        <v>120.94</v>
      </c>
      <c r="AA23" s="756"/>
      <c r="AB23" s="752">
        <v>0</v>
      </c>
      <c r="AC23" s="752">
        <f t="shared" si="1"/>
        <v>1113.94</v>
      </c>
      <c r="AD23" s="752" t="s">
        <v>830</v>
      </c>
      <c r="AE23" s="754">
        <f t="shared" si="2"/>
        <v>769</v>
      </c>
      <c r="AF23" s="283">
        <v>769</v>
      </c>
      <c r="AG23" s="283">
        <f t="shared" si="3"/>
        <v>845.9</v>
      </c>
      <c r="AH23" s="283">
        <f t="shared" si="4"/>
        <v>922.8</v>
      </c>
      <c r="AI23" s="283">
        <f t="shared" si="5"/>
        <v>1153.5</v>
      </c>
      <c r="AJ23" s="283">
        <f t="shared" si="6"/>
        <v>807.45</v>
      </c>
      <c r="AK23" s="283">
        <f t="shared" si="7"/>
        <v>961.25</v>
      </c>
    </row>
    <row r="24" spans="1:37" ht="24" customHeight="1">
      <c r="A24" s="792">
        <f t="shared" si="8"/>
        <v>15</v>
      </c>
      <c r="B24" s="374" t="s">
        <v>831</v>
      </c>
      <c r="C24" s="283">
        <f t="shared" si="9"/>
        <v>236.1</v>
      </c>
      <c r="D24" s="374" t="s">
        <v>869</v>
      </c>
      <c r="K24" s="748" t="s">
        <v>1586</v>
      </c>
      <c r="M24" s="283">
        <v>1.5</v>
      </c>
      <c r="N24" s="374" t="s">
        <v>869</v>
      </c>
      <c r="O24" s="374" t="s">
        <v>1792</v>
      </c>
      <c r="P24" s="283">
        <f>C18</f>
        <v>116</v>
      </c>
      <c r="Q24" s="374" t="s">
        <v>869</v>
      </c>
      <c r="R24" s="283">
        <f>(M24*P24)</f>
        <v>174</v>
      </c>
      <c r="T24" s="756" t="s">
        <v>1793</v>
      </c>
      <c r="U24" s="752" t="s">
        <v>4565</v>
      </c>
      <c r="V24" s="752" t="s">
        <v>866</v>
      </c>
      <c r="W24" s="756" t="s">
        <v>1794</v>
      </c>
      <c r="X24" s="754">
        <f>X25</f>
        <v>0</v>
      </c>
      <c r="Y24" s="754">
        <v>34300</v>
      </c>
      <c r="Z24" s="761">
        <f>Z25</f>
        <v>0</v>
      </c>
      <c r="AA24" s="756"/>
      <c r="AB24" s="752">
        <v>0</v>
      </c>
      <c r="AC24" s="752">
        <f t="shared" si="1"/>
        <v>34300</v>
      </c>
      <c r="AD24" s="752" t="s">
        <v>6346</v>
      </c>
      <c r="AE24" s="754">
        <f t="shared" si="2"/>
        <v>116</v>
      </c>
      <c r="AF24" s="283">
        <v>116</v>
      </c>
      <c r="AG24" s="283">
        <f t="shared" si="3"/>
        <v>127.6</v>
      </c>
      <c r="AH24" s="283">
        <f t="shared" si="4"/>
        <v>139.19999999999999</v>
      </c>
      <c r="AI24" s="283">
        <f t="shared" si="5"/>
        <v>174</v>
      </c>
      <c r="AJ24" s="283">
        <f t="shared" si="6"/>
        <v>121.8</v>
      </c>
      <c r="AK24" s="283">
        <f t="shared" si="7"/>
        <v>145</v>
      </c>
    </row>
    <row r="25" spans="1:37" ht="24" customHeight="1">
      <c r="A25" s="792">
        <f t="shared" si="8"/>
        <v>16</v>
      </c>
      <c r="B25" s="374" t="s">
        <v>4019</v>
      </c>
      <c r="C25" s="283">
        <f>AE25</f>
        <v>94.2</v>
      </c>
      <c r="D25" s="374" t="s">
        <v>869</v>
      </c>
      <c r="G25" s="283" t="s">
        <v>2251</v>
      </c>
      <c r="H25" s="374" t="s">
        <v>1353</v>
      </c>
      <c r="M25" s="283">
        <v>1.5</v>
      </c>
      <c r="N25" s="374" t="s">
        <v>869</v>
      </c>
      <c r="O25" s="374" t="s">
        <v>1354</v>
      </c>
      <c r="P25" s="283">
        <f>C27</f>
        <v>34.200000000000003</v>
      </c>
      <c r="Q25" s="374" t="s">
        <v>869</v>
      </c>
      <c r="R25" s="283">
        <f>(M25*P25)</f>
        <v>51.3</v>
      </c>
      <c r="T25" s="756" t="s">
        <v>1355</v>
      </c>
      <c r="U25" s="752" t="s">
        <v>1356</v>
      </c>
      <c r="V25" s="752" t="s">
        <v>866</v>
      </c>
      <c r="W25" s="756" t="s">
        <v>1794</v>
      </c>
      <c r="X25" s="754">
        <f>'lead  charge'!P12</f>
        <v>0</v>
      </c>
      <c r="Y25" s="754">
        <v>39400</v>
      </c>
      <c r="Z25" s="761">
        <f>'lead  charge'!Q12</f>
        <v>0</v>
      </c>
      <c r="AA25" s="756"/>
      <c r="AB25" s="752">
        <v>0</v>
      </c>
      <c r="AC25" s="752">
        <f>SUM(Y25+Z25+AA25+AB25)</f>
        <v>39400</v>
      </c>
      <c r="AD25" s="752" t="s">
        <v>6347</v>
      </c>
      <c r="AE25" s="754">
        <f t="shared" si="2"/>
        <v>94.2</v>
      </c>
      <c r="AF25" s="283">
        <v>94.2</v>
      </c>
      <c r="AG25" s="283">
        <f t="shared" si="3"/>
        <v>103.62</v>
      </c>
      <c r="AH25" s="283">
        <f t="shared" si="4"/>
        <v>113.04</v>
      </c>
      <c r="AI25" s="283">
        <f t="shared" si="5"/>
        <v>141.30000000000001</v>
      </c>
      <c r="AJ25" s="283">
        <f t="shared" si="6"/>
        <v>98.91</v>
      </c>
      <c r="AK25" s="283">
        <f t="shared" si="7"/>
        <v>117.75</v>
      </c>
    </row>
    <row r="26" spans="1:37" ht="24" customHeight="1">
      <c r="A26" s="792">
        <f t="shared" si="8"/>
        <v>17</v>
      </c>
      <c r="B26" s="374" t="s">
        <v>4020</v>
      </c>
      <c r="C26" s="283">
        <f>AE28</f>
        <v>38.950000000000003</v>
      </c>
      <c r="D26" s="374" t="s">
        <v>2043</v>
      </c>
      <c r="H26" s="748" t="s">
        <v>1586</v>
      </c>
      <c r="N26" s="374" t="s">
        <v>449</v>
      </c>
      <c r="O26" s="374" t="s">
        <v>450</v>
      </c>
      <c r="P26" s="374" t="s">
        <v>975</v>
      </c>
      <c r="Q26" s="374" t="s">
        <v>449</v>
      </c>
      <c r="R26" s="283">
        <v>0</v>
      </c>
      <c r="T26" s="756" t="s">
        <v>2044</v>
      </c>
      <c r="U26" s="752" t="s">
        <v>4566</v>
      </c>
      <c r="V26" s="752" t="s">
        <v>866</v>
      </c>
      <c r="W26" s="756" t="s">
        <v>1794</v>
      </c>
      <c r="X26" s="754">
        <f>X25</f>
        <v>0</v>
      </c>
      <c r="Y26" s="754">
        <v>111600</v>
      </c>
      <c r="Z26" s="761">
        <f>'lead  charge'!Q12</f>
        <v>0</v>
      </c>
      <c r="AA26" s="756"/>
      <c r="AB26" s="752">
        <v>0</v>
      </c>
      <c r="AC26" s="752">
        <f>SUM(Y26+Z26+AA26+AB26)</f>
        <v>111600</v>
      </c>
      <c r="AD26" s="752" t="s">
        <v>5246</v>
      </c>
      <c r="AE26" s="754">
        <f t="shared" si="2"/>
        <v>69.8</v>
      </c>
      <c r="AF26" s="283">
        <v>69.8</v>
      </c>
      <c r="AG26" s="283">
        <f t="shared" si="3"/>
        <v>76.78</v>
      </c>
      <c r="AH26" s="283">
        <f t="shared" si="4"/>
        <v>83.76</v>
      </c>
      <c r="AI26" s="283">
        <f t="shared" si="5"/>
        <v>104.7</v>
      </c>
      <c r="AJ26" s="283">
        <f t="shared" si="6"/>
        <v>73.290000000000006</v>
      </c>
      <c r="AK26" s="283">
        <f t="shared" si="7"/>
        <v>87.25</v>
      </c>
    </row>
    <row r="27" spans="1:37" ht="24" customHeight="1">
      <c r="A27" s="792">
        <f t="shared" si="8"/>
        <v>18</v>
      </c>
      <c r="B27" s="374" t="s">
        <v>4021</v>
      </c>
      <c r="C27" s="283">
        <f>AE27</f>
        <v>34.200000000000003</v>
      </c>
      <c r="D27" s="374" t="s">
        <v>2043</v>
      </c>
      <c r="E27" s="751">
        <f>(67+89.5+102.7)/3</f>
        <v>86.4</v>
      </c>
      <c r="F27" s="283">
        <v>0.48</v>
      </c>
      <c r="G27" s="283" t="s">
        <v>861</v>
      </c>
      <c r="H27" s="374" t="s">
        <v>862</v>
      </c>
      <c r="I27" s="283">
        <f>(C68)</f>
        <v>6040</v>
      </c>
      <c r="J27" s="374" t="s">
        <v>861</v>
      </c>
      <c r="K27" s="283">
        <f>(F27*I27)</f>
        <v>2899.2</v>
      </c>
      <c r="R27" s="748" t="s">
        <v>1586</v>
      </c>
      <c r="T27" s="756" t="s">
        <v>1490</v>
      </c>
      <c r="U27" s="752" t="s">
        <v>4567</v>
      </c>
      <c r="V27" s="752" t="s">
        <v>866</v>
      </c>
      <c r="W27" s="756" t="s">
        <v>1794</v>
      </c>
      <c r="X27" s="754">
        <f>X26</f>
        <v>0</v>
      </c>
      <c r="Y27" s="754">
        <v>99400</v>
      </c>
      <c r="Z27" s="761">
        <f>Z26</f>
        <v>0</v>
      </c>
      <c r="AA27" s="756"/>
      <c r="AB27" s="752">
        <v>0</v>
      </c>
      <c r="AC27" s="752">
        <f>SUM(Y27+Z27+AA27+AB27)</f>
        <v>99400</v>
      </c>
      <c r="AD27" s="752" t="s">
        <v>6348</v>
      </c>
      <c r="AE27" s="754">
        <f t="shared" si="2"/>
        <v>34.200000000000003</v>
      </c>
      <c r="AF27" s="283">
        <v>34.200000000000003</v>
      </c>
      <c r="AG27" s="283">
        <f t="shared" si="3"/>
        <v>37.619999999999997</v>
      </c>
      <c r="AH27" s="283">
        <f t="shared" si="4"/>
        <v>41.04</v>
      </c>
      <c r="AI27" s="283">
        <f t="shared" si="5"/>
        <v>51.3</v>
      </c>
      <c r="AJ27" s="283">
        <f t="shared" si="6"/>
        <v>35.909999999999997</v>
      </c>
      <c r="AK27" s="283">
        <f t="shared" si="7"/>
        <v>42.75</v>
      </c>
    </row>
    <row r="28" spans="1:37" ht="24" customHeight="1">
      <c r="A28" s="792">
        <f t="shared" si="8"/>
        <v>19</v>
      </c>
      <c r="B28" s="374" t="s">
        <v>5247</v>
      </c>
      <c r="C28" s="751">
        <f>E27</f>
        <v>86.4</v>
      </c>
      <c r="D28" s="374" t="s">
        <v>449</v>
      </c>
      <c r="E28" s="283">
        <v>254.4</v>
      </c>
      <c r="F28" s="283">
        <v>1</v>
      </c>
      <c r="G28" s="283" t="s">
        <v>869</v>
      </c>
      <c r="H28" s="374" t="s">
        <v>870</v>
      </c>
      <c r="I28" s="283">
        <f>(C79)</f>
        <v>2074.06</v>
      </c>
      <c r="J28" s="374" t="s">
        <v>869</v>
      </c>
      <c r="K28" s="283">
        <f>(F28*I28)</f>
        <v>2074.06</v>
      </c>
      <c r="O28" s="374" t="s">
        <v>168</v>
      </c>
      <c r="R28" s="283">
        <f>SUM(R22:R26)</f>
        <v>3413.3</v>
      </c>
      <c r="T28" s="756" t="s">
        <v>885</v>
      </c>
      <c r="U28" s="752" t="s">
        <v>4568</v>
      </c>
      <c r="V28" s="752" t="s">
        <v>866</v>
      </c>
      <c r="W28" s="756" t="s">
        <v>1794</v>
      </c>
      <c r="X28" s="754">
        <f>X27</f>
        <v>0</v>
      </c>
      <c r="Y28" s="754">
        <v>95000</v>
      </c>
      <c r="Z28" s="761">
        <f>Z27</f>
        <v>0</v>
      </c>
      <c r="AA28" s="756"/>
      <c r="AB28" s="752">
        <v>0</v>
      </c>
      <c r="AC28" s="752">
        <f>SUM(Y28+Z28+AA28+AB28)</f>
        <v>95000</v>
      </c>
      <c r="AD28" s="752" t="s">
        <v>5248</v>
      </c>
      <c r="AE28" s="754">
        <f t="shared" si="2"/>
        <v>38.950000000000003</v>
      </c>
      <c r="AF28" s="283">
        <v>38.950000000000003</v>
      </c>
      <c r="AG28" s="283">
        <f t="shared" si="3"/>
        <v>42.85</v>
      </c>
      <c r="AH28" s="283">
        <f t="shared" si="4"/>
        <v>46.74</v>
      </c>
      <c r="AI28" s="283">
        <f t="shared" si="5"/>
        <v>58.43</v>
      </c>
      <c r="AJ28" s="283">
        <f t="shared" si="6"/>
        <v>40.9</v>
      </c>
      <c r="AK28" s="283">
        <f t="shared" si="7"/>
        <v>48.69</v>
      </c>
    </row>
    <row r="29" spans="1:37" ht="24" customHeight="1">
      <c r="A29" s="792">
        <f t="shared" si="8"/>
        <v>20</v>
      </c>
      <c r="B29" s="374" t="s">
        <v>4022</v>
      </c>
      <c r="C29" s="283">
        <f>AE23</f>
        <v>769</v>
      </c>
      <c r="D29" s="374" t="s">
        <v>769</v>
      </c>
      <c r="E29" s="283">
        <f>E28/3</f>
        <v>84.8</v>
      </c>
      <c r="F29" s="283">
        <v>1</v>
      </c>
      <c r="G29" s="283" t="s">
        <v>869</v>
      </c>
      <c r="H29" s="374" t="s">
        <v>874</v>
      </c>
      <c r="I29" s="283">
        <f>(C18)</f>
        <v>116</v>
      </c>
      <c r="J29" s="374" t="s">
        <v>869</v>
      </c>
      <c r="K29" s="283">
        <f>(F29*I29)</f>
        <v>116</v>
      </c>
      <c r="R29" s="748" t="s">
        <v>1586</v>
      </c>
      <c r="T29" s="756" t="s">
        <v>770</v>
      </c>
      <c r="U29" s="752" t="s">
        <v>5810</v>
      </c>
      <c r="V29" s="752" t="s">
        <v>1446</v>
      </c>
      <c r="W29" s="756" t="str">
        <f>W18</f>
        <v>Muraiyar</v>
      </c>
      <c r="X29" s="754">
        <f>X18</f>
        <v>14</v>
      </c>
      <c r="Y29" s="754">
        <v>4299</v>
      </c>
      <c r="Z29" s="761">
        <f>'lead  charge'!H10</f>
        <v>131.84</v>
      </c>
      <c r="AA29" s="756"/>
      <c r="AB29" s="752">
        <v>0</v>
      </c>
      <c r="AC29" s="752">
        <f>SUM(Y29+Z29+AA29+AB29)</f>
        <v>4430.84</v>
      </c>
      <c r="AD29" s="752" t="s">
        <v>5249</v>
      </c>
      <c r="AE29" s="754">
        <f t="shared" si="2"/>
        <v>112.05</v>
      </c>
      <c r="AF29" s="283">
        <v>112.05</v>
      </c>
      <c r="AG29" s="283">
        <f t="shared" si="3"/>
        <v>123.26</v>
      </c>
      <c r="AH29" s="283">
        <f t="shared" si="4"/>
        <v>134.46</v>
      </c>
      <c r="AI29" s="283">
        <f t="shared" si="5"/>
        <v>168.08</v>
      </c>
      <c r="AJ29" s="283">
        <f t="shared" si="6"/>
        <v>117.65</v>
      </c>
      <c r="AK29" s="283">
        <f t="shared" si="7"/>
        <v>140.06</v>
      </c>
    </row>
    <row r="30" spans="1:37" ht="24" customHeight="1">
      <c r="A30" s="792">
        <f t="shared" si="8"/>
        <v>21</v>
      </c>
      <c r="B30" s="374" t="s">
        <v>4023</v>
      </c>
      <c r="C30" s="283">
        <f>AE33</f>
        <v>13690</v>
      </c>
      <c r="D30" s="283">
        <f>AE31</f>
        <v>1281</v>
      </c>
      <c r="G30" s="283" t="s">
        <v>449</v>
      </c>
      <c r="H30" s="374" t="s">
        <v>450</v>
      </c>
      <c r="I30" s="374" t="s">
        <v>975</v>
      </c>
      <c r="J30" s="374" t="s">
        <v>449</v>
      </c>
      <c r="K30" s="283">
        <v>0</v>
      </c>
      <c r="O30" s="374" t="s">
        <v>773</v>
      </c>
      <c r="R30" s="283">
        <f>(R28/1.5)</f>
        <v>2275.5300000000002</v>
      </c>
      <c r="T30" s="756" t="s">
        <v>2168</v>
      </c>
      <c r="U30" s="752" t="s">
        <v>4569</v>
      </c>
      <c r="V30" s="752" t="s">
        <v>1446</v>
      </c>
      <c r="W30" s="756" t="s">
        <v>1794</v>
      </c>
      <c r="X30" s="754"/>
      <c r="Y30" s="754">
        <v>11907</v>
      </c>
      <c r="Z30" s="761"/>
      <c r="AA30" s="756"/>
      <c r="AB30" s="752">
        <v>0</v>
      </c>
      <c r="AC30" s="752">
        <f t="shared" si="1"/>
        <v>11907</v>
      </c>
      <c r="AD30" s="752" t="s">
        <v>6349</v>
      </c>
      <c r="AE30" s="754">
        <f t="shared" si="2"/>
        <v>1537</v>
      </c>
      <c r="AF30" s="283">
        <v>1537</v>
      </c>
      <c r="AG30" s="283">
        <f t="shared" si="3"/>
        <v>1690.7</v>
      </c>
      <c r="AH30" s="283">
        <f t="shared" si="4"/>
        <v>1844.4</v>
      </c>
      <c r="AI30" s="283">
        <f t="shared" si="5"/>
        <v>2305.5</v>
      </c>
      <c r="AJ30" s="283">
        <f t="shared" si="6"/>
        <v>1613.85</v>
      </c>
      <c r="AK30" s="283">
        <f t="shared" si="7"/>
        <v>1921.25</v>
      </c>
    </row>
    <row r="31" spans="1:37" ht="24" customHeight="1">
      <c r="A31" s="792">
        <f t="shared" si="8"/>
        <v>22</v>
      </c>
      <c r="B31" s="374" t="s">
        <v>4024</v>
      </c>
      <c r="C31" s="283">
        <f>AE30</f>
        <v>1537</v>
      </c>
      <c r="D31" s="283">
        <f>AE32</f>
        <v>1436</v>
      </c>
      <c r="K31" s="748" t="s">
        <v>1586</v>
      </c>
      <c r="O31" s="374" t="s">
        <v>249</v>
      </c>
      <c r="R31" s="748" t="s">
        <v>2055</v>
      </c>
      <c r="T31" s="756" t="s">
        <v>18</v>
      </c>
      <c r="U31" s="752" t="s">
        <v>19</v>
      </c>
      <c r="V31" s="752" t="s">
        <v>861</v>
      </c>
      <c r="W31" s="756" t="s">
        <v>1794</v>
      </c>
      <c r="X31" s="754">
        <f>'lead  charge'!D14</f>
        <v>0</v>
      </c>
      <c r="Y31" s="754">
        <v>6040</v>
      </c>
      <c r="Z31" s="761">
        <f>'lead  charge'!E14</f>
        <v>0</v>
      </c>
      <c r="AA31" s="756"/>
      <c r="AB31" s="752"/>
      <c r="AC31" s="752">
        <f>SUM(Y31+Z31+AA31+AB31)</f>
        <v>6040</v>
      </c>
      <c r="AD31" s="752" t="s">
        <v>6350</v>
      </c>
      <c r="AE31" s="754">
        <f t="shared" si="2"/>
        <v>1281</v>
      </c>
      <c r="AF31" s="283">
        <v>1281</v>
      </c>
      <c r="AG31" s="283">
        <f t="shared" si="3"/>
        <v>1409.1</v>
      </c>
      <c r="AH31" s="283">
        <f t="shared" si="4"/>
        <v>1537.2</v>
      </c>
      <c r="AI31" s="283">
        <f t="shared" si="5"/>
        <v>1921.5</v>
      </c>
      <c r="AJ31" s="283">
        <f t="shared" si="6"/>
        <v>1345.05</v>
      </c>
      <c r="AK31" s="283">
        <f t="shared" si="7"/>
        <v>1601.25</v>
      </c>
    </row>
    <row r="32" spans="1:37" ht="24" customHeight="1">
      <c r="A32" s="792">
        <f t="shared" si="8"/>
        <v>23</v>
      </c>
      <c r="B32" s="374" t="s">
        <v>1797</v>
      </c>
      <c r="C32" s="283">
        <v>2.5</v>
      </c>
      <c r="D32" s="283">
        <f>AE34</f>
        <v>1197</v>
      </c>
      <c r="H32" s="374" t="s">
        <v>1516</v>
      </c>
      <c r="K32" s="751">
        <f>SUM(K27:K30)</f>
        <v>5089.26</v>
      </c>
      <c r="T32" s="756" t="s">
        <v>1798</v>
      </c>
      <c r="U32" s="752" t="s">
        <v>1799</v>
      </c>
      <c r="V32" s="752" t="s">
        <v>861</v>
      </c>
      <c r="W32" s="756" t="s">
        <v>2265</v>
      </c>
      <c r="X32" s="754">
        <f>'lead  charge'!D15</f>
        <v>0</v>
      </c>
      <c r="Y32" s="754">
        <v>58000</v>
      </c>
      <c r="Z32" s="761">
        <f>Z31</f>
        <v>0</v>
      </c>
      <c r="AA32" s="756"/>
      <c r="AB32" s="752">
        <v>0</v>
      </c>
      <c r="AC32" s="752">
        <f>SUM(Y32+Z32+AA32+AB32)</f>
        <v>58000</v>
      </c>
      <c r="AD32" s="752" t="s">
        <v>6351</v>
      </c>
      <c r="AE32" s="754">
        <f t="shared" si="2"/>
        <v>1436</v>
      </c>
      <c r="AF32" s="283">
        <v>1436</v>
      </c>
      <c r="AG32" s="283">
        <f t="shared" si="3"/>
        <v>1579.6</v>
      </c>
      <c r="AH32" s="283">
        <f t="shared" si="4"/>
        <v>1723.2</v>
      </c>
      <c r="AI32" s="283">
        <f t="shared" si="5"/>
        <v>2154</v>
      </c>
      <c r="AJ32" s="283">
        <f t="shared" si="6"/>
        <v>1507.8</v>
      </c>
      <c r="AK32" s="283">
        <f t="shared" si="7"/>
        <v>1795</v>
      </c>
    </row>
    <row r="33" spans="1:37" ht="24" customHeight="1">
      <c r="A33" s="792">
        <f t="shared" si="8"/>
        <v>24</v>
      </c>
      <c r="B33" s="374" t="s">
        <v>444</v>
      </c>
      <c r="C33" s="283">
        <v>3.64</v>
      </c>
      <c r="D33" s="283">
        <f>AE35</f>
        <v>1072</v>
      </c>
      <c r="K33" s="748" t="s">
        <v>1586</v>
      </c>
      <c r="T33" s="762" t="s">
        <v>445</v>
      </c>
      <c r="U33" s="752" t="s">
        <v>1418</v>
      </c>
      <c r="V33" s="752" t="s">
        <v>861</v>
      </c>
      <c r="W33" s="756" t="s">
        <v>2265</v>
      </c>
      <c r="X33" s="754">
        <f>X32</f>
        <v>0</v>
      </c>
      <c r="Y33" s="754">
        <v>58000</v>
      </c>
      <c r="Z33" s="761">
        <f>Z32</f>
        <v>0</v>
      </c>
      <c r="AA33" s="756"/>
      <c r="AB33" s="752">
        <v>0</v>
      </c>
      <c r="AC33" s="752">
        <f t="shared" si="1"/>
        <v>58000</v>
      </c>
      <c r="AD33" s="752" t="s">
        <v>6352</v>
      </c>
      <c r="AE33" s="754">
        <f t="shared" si="2"/>
        <v>13690</v>
      </c>
      <c r="AF33" s="283">
        <v>13690</v>
      </c>
      <c r="AG33" s="283">
        <f t="shared" si="3"/>
        <v>15059</v>
      </c>
      <c r="AH33" s="283">
        <f t="shared" si="4"/>
        <v>16428</v>
      </c>
      <c r="AI33" s="283">
        <f t="shared" si="5"/>
        <v>20535</v>
      </c>
      <c r="AJ33" s="283">
        <f t="shared" si="6"/>
        <v>14374.5</v>
      </c>
      <c r="AK33" s="283">
        <f t="shared" si="7"/>
        <v>17112.5</v>
      </c>
    </row>
    <row r="34" spans="1:37" ht="24" customHeight="1">
      <c r="A34" s="792">
        <f t="shared" si="8"/>
        <v>25</v>
      </c>
      <c r="B34" s="374" t="s">
        <v>5811</v>
      </c>
      <c r="C34" s="283">
        <f>53*1000</f>
        <v>53000</v>
      </c>
      <c r="D34" s="283">
        <f>C34</f>
        <v>53000</v>
      </c>
      <c r="G34" s="283" t="s">
        <v>2251</v>
      </c>
      <c r="H34" s="374" t="s">
        <v>1307</v>
      </c>
      <c r="T34" s="762" t="s">
        <v>1420</v>
      </c>
      <c r="U34" s="752" t="s">
        <v>1421</v>
      </c>
      <c r="V34" s="752" t="s">
        <v>1446</v>
      </c>
      <c r="W34" s="756" t="str">
        <f>W18</f>
        <v>Muraiyar</v>
      </c>
      <c r="X34" s="754">
        <f>X29</f>
        <v>14</v>
      </c>
      <c r="Y34" s="754">
        <f>Y29</f>
        <v>4299</v>
      </c>
      <c r="Z34" s="761">
        <f>Z29</f>
        <v>131.84</v>
      </c>
      <c r="AA34" s="756"/>
      <c r="AB34" s="752">
        <v>0</v>
      </c>
      <c r="AC34" s="752">
        <f t="shared" si="1"/>
        <v>4430.84</v>
      </c>
      <c r="AD34" s="752" t="s">
        <v>6353</v>
      </c>
      <c r="AE34" s="754">
        <f t="shared" si="2"/>
        <v>1197</v>
      </c>
      <c r="AF34" s="283">
        <v>1197</v>
      </c>
      <c r="AG34" s="283">
        <f t="shared" si="3"/>
        <v>1316.7</v>
      </c>
      <c r="AH34" s="283">
        <f t="shared" si="4"/>
        <v>1436.4</v>
      </c>
      <c r="AI34" s="283">
        <f t="shared" si="5"/>
        <v>1795.5</v>
      </c>
      <c r="AJ34" s="283">
        <f t="shared" si="6"/>
        <v>1256.8499999999999</v>
      </c>
      <c r="AK34" s="283">
        <f t="shared" si="7"/>
        <v>1496.25</v>
      </c>
    </row>
    <row r="35" spans="1:37" ht="24" customHeight="1">
      <c r="A35" s="792">
        <f t="shared" si="8"/>
        <v>26</v>
      </c>
      <c r="B35" s="374" t="s">
        <v>208</v>
      </c>
      <c r="C35" s="283">
        <f>AC38</f>
        <v>257.64999999999998</v>
      </c>
      <c r="F35" s="283">
        <v>0.36</v>
      </c>
      <c r="G35" s="283" t="s">
        <v>861</v>
      </c>
      <c r="H35" s="374" t="s">
        <v>862</v>
      </c>
      <c r="I35" s="283">
        <f>C68</f>
        <v>6040</v>
      </c>
      <c r="J35" s="374" t="s">
        <v>861</v>
      </c>
      <c r="K35" s="283">
        <f>(F35*I35)</f>
        <v>2174.4</v>
      </c>
      <c r="T35" s="756" t="s">
        <v>1422</v>
      </c>
      <c r="U35" s="752" t="s">
        <v>5812</v>
      </c>
      <c r="V35" s="752" t="s">
        <v>866</v>
      </c>
      <c r="W35" s="756" t="str">
        <f>W11</f>
        <v>Allappanur</v>
      </c>
      <c r="X35" s="754">
        <f>X11</f>
        <v>8</v>
      </c>
      <c r="Y35" s="893">
        <v>961</v>
      </c>
      <c r="Z35" s="761">
        <f>Z11</f>
        <v>93.2</v>
      </c>
      <c r="AA35" s="756"/>
      <c r="AB35" s="752"/>
      <c r="AC35" s="752">
        <f t="shared" si="1"/>
        <v>1054.2</v>
      </c>
      <c r="AD35" s="752" t="s">
        <v>6354</v>
      </c>
      <c r="AE35" s="754">
        <f t="shared" si="2"/>
        <v>1072</v>
      </c>
      <c r="AF35" s="283">
        <v>1072</v>
      </c>
      <c r="AG35" s="283">
        <f t="shared" si="3"/>
        <v>1179.2</v>
      </c>
      <c r="AH35" s="283">
        <f t="shared" si="4"/>
        <v>1286.4000000000001</v>
      </c>
      <c r="AI35" s="283">
        <f t="shared" si="5"/>
        <v>1608</v>
      </c>
      <c r="AJ35" s="283">
        <f t="shared" si="6"/>
        <v>1125.5999999999999</v>
      </c>
      <c r="AK35" s="283">
        <f t="shared" si="7"/>
        <v>1340</v>
      </c>
    </row>
    <row r="36" spans="1:37" ht="24" customHeight="1">
      <c r="A36" s="283" t="s">
        <v>975</v>
      </c>
      <c r="B36" s="374" t="s">
        <v>5250</v>
      </c>
      <c r="C36" s="283">
        <f>AE60</f>
        <v>0</v>
      </c>
      <c r="F36" s="283">
        <v>1</v>
      </c>
      <c r="G36" s="283" t="s">
        <v>869</v>
      </c>
      <c r="H36" s="374" t="s">
        <v>870</v>
      </c>
      <c r="I36" s="283">
        <f>AC16</f>
        <v>2074.06</v>
      </c>
      <c r="J36" s="374" t="s">
        <v>869</v>
      </c>
      <c r="K36" s="283">
        <f>(F36*I36)</f>
        <v>2074.06</v>
      </c>
      <c r="T36" s="756" t="s">
        <v>225</v>
      </c>
      <c r="U36" s="752" t="s">
        <v>398</v>
      </c>
      <c r="V36" s="752" t="s">
        <v>866</v>
      </c>
      <c r="W36" s="756" t="str">
        <f>W12</f>
        <v>Allappanur</v>
      </c>
      <c r="X36" s="754">
        <f>X11</f>
        <v>8</v>
      </c>
      <c r="Y36" s="893">
        <f>ROUND((1114+1051)/2,2)</f>
        <v>1082.5</v>
      </c>
      <c r="Z36" s="761">
        <f>Z11</f>
        <v>93.2</v>
      </c>
      <c r="AA36" s="756"/>
      <c r="AB36" s="752">
        <v>0</v>
      </c>
      <c r="AC36" s="752">
        <f t="shared" si="1"/>
        <v>1175.7</v>
      </c>
      <c r="AD36" s="752" t="s">
        <v>5251</v>
      </c>
      <c r="AE36" s="754">
        <f t="shared" si="2"/>
        <v>166.9</v>
      </c>
      <c r="AF36" s="283">
        <v>166.9</v>
      </c>
      <c r="AG36" s="283">
        <f t="shared" si="3"/>
        <v>183.59</v>
      </c>
      <c r="AH36" s="283">
        <f t="shared" si="4"/>
        <v>200.28</v>
      </c>
      <c r="AI36" s="283">
        <f t="shared" si="5"/>
        <v>250.35</v>
      </c>
      <c r="AJ36" s="283">
        <f t="shared" si="6"/>
        <v>175.25</v>
      </c>
      <c r="AK36" s="283">
        <f t="shared" si="7"/>
        <v>208.63</v>
      </c>
    </row>
    <row r="37" spans="1:37" ht="24" customHeight="1">
      <c r="B37" s="374" t="s">
        <v>5252</v>
      </c>
      <c r="C37" s="283">
        <f>AE61</f>
        <v>0</v>
      </c>
      <c r="F37" s="283">
        <v>1</v>
      </c>
      <c r="G37" s="283" t="s">
        <v>869</v>
      </c>
      <c r="H37" s="374" t="s">
        <v>874</v>
      </c>
      <c r="I37" s="283">
        <f>C18</f>
        <v>116</v>
      </c>
      <c r="J37" s="374" t="s">
        <v>869</v>
      </c>
      <c r="K37" s="283">
        <f>(F37*I37)</f>
        <v>116</v>
      </c>
      <c r="T37" s="756" t="s">
        <v>1673</v>
      </c>
      <c r="U37" s="752" t="s">
        <v>416</v>
      </c>
      <c r="V37" s="752" t="s">
        <v>866</v>
      </c>
      <c r="W37" s="756" t="str">
        <f>W13</f>
        <v>Allappanur</v>
      </c>
      <c r="X37" s="754">
        <f>X36</f>
        <v>8</v>
      </c>
      <c r="Y37" s="893">
        <f>ROUND((665.8+812+1092+1092)/4,2)</f>
        <v>915.45</v>
      </c>
      <c r="Z37" s="761">
        <f>Z11</f>
        <v>93.2</v>
      </c>
      <c r="AA37" s="756"/>
      <c r="AB37" s="752">
        <v>0</v>
      </c>
      <c r="AC37" s="752">
        <f>SUM(Y37+Z37+AA37+AB37)</f>
        <v>1008.65</v>
      </c>
      <c r="AD37" s="752" t="s">
        <v>6355</v>
      </c>
      <c r="AE37" s="754">
        <f t="shared" si="2"/>
        <v>839</v>
      </c>
      <c r="AF37" s="283">
        <v>839</v>
      </c>
      <c r="AG37" s="283">
        <f t="shared" si="3"/>
        <v>922.9</v>
      </c>
      <c r="AH37" s="283">
        <f t="shared" si="4"/>
        <v>1006.8</v>
      </c>
      <c r="AI37" s="283">
        <f t="shared" si="5"/>
        <v>1258.5</v>
      </c>
      <c r="AJ37" s="283">
        <f t="shared" si="6"/>
        <v>880.95</v>
      </c>
      <c r="AK37" s="283">
        <f t="shared" si="7"/>
        <v>1048.75</v>
      </c>
    </row>
    <row r="38" spans="1:37" ht="24" customHeight="1">
      <c r="A38" s="792">
        <f>(A35+1)</f>
        <v>27</v>
      </c>
      <c r="B38" s="374" t="s">
        <v>1674</v>
      </c>
      <c r="C38" s="283">
        <v>40</v>
      </c>
      <c r="D38" s="374" t="s">
        <v>868</v>
      </c>
      <c r="G38" s="283" t="s">
        <v>449</v>
      </c>
      <c r="H38" s="374" t="s">
        <v>450</v>
      </c>
      <c r="I38" s="374" t="s">
        <v>975</v>
      </c>
      <c r="J38" s="374" t="s">
        <v>449</v>
      </c>
      <c r="K38" s="283">
        <v>0</v>
      </c>
      <c r="T38" s="756" t="s">
        <v>207</v>
      </c>
      <c r="U38" s="752" t="s">
        <v>5813</v>
      </c>
      <c r="V38" s="752" t="s">
        <v>866</v>
      </c>
      <c r="W38" s="756" t="s">
        <v>1794</v>
      </c>
      <c r="X38" s="754">
        <f>'lead  charge'!D13</f>
        <v>3</v>
      </c>
      <c r="Y38" s="893">
        <v>222.7</v>
      </c>
      <c r="Z38" s="761">
        <f>'lead  charge'!E13</f>
        <v>34.950000000000003</v>
      </c>
      <c r="AA38" s="756"/>
      <c r="AB38" s="752">
        <v>0</v>
      </c>
      <c r="AC38" s="752">
        <f>SUM(Y38+Z38+AA38+AB38)</f>
        <v>257.64999999999998</v>
      </c>
      <c r="AD38" s="752" t="s">
        <v>6356</v>
      </c>
      <c r="AE38" s="754">
        <f t="shared" si="2"/>
        <v>866</v>
      </c>
      <c r="AF38" s="283">
        <v>866</v>
      </c>
      <c r="AG38" s="283">
        <f t="shared" si="3"/>
        <v>952.6</v>
      </c>
      <c r="AH38" s="283">
        <f t="shared" si="4"/>
        <v>1039.2</v>
      </c>
      <c r="AI38" s="283">
        <f t="shared" si="5"/>
        <v>1299</v>
      </c>
      <c r="AJ38" s="283">
        <f t="shared" si="6"/>
        <v>909.3</v>
      </c>
      <c r="AK38" s="283">
        <f t="shared" si="7"/>
        <v>1082.5</v>
      </c>
    </row>
    <row r="39" spans="1:37" ht="24" customHeight="1">
      <c r="A39" s="792">
        <f t="shared" ref="A39:A59" si="10">(A38+1)</f>
        <v>28</v>
      </c>
      <c r="B39" s="374" t="s">
        <v>209</v>
      </c>
      <c r="C39" s="283">
        <v>41</v>
      </c>
      <c r="D39" s="283">
        <v>500</v>
      </c>
      <c r="K39" s="748" t="s">
        <v>1586</v>
      </c>
      <c r="T39" s="762">
        <v>31</v>
      </c>
      <c r="U39" s="752" t="s">
        <v>5814</v>
      </c>
      <c r="V39" s="752" t="s">
        <v>866</v>
      </c>
      <c r="W39" s="756" t="s">
        <v>2265</v>
      </c>
      <c r="X39" s="754">
        <f>'lead  charge'!D16</f>
        <v>3</v>
      </c>
      <c r="Y39" s="893">
        <v>166.5</v>
      </c>
      <c r="Z39" s="761">
        <f>'lead  charge'!E16</f>
        <v>34.950000000000003</v>
      </c>
      <c r="AA39" s="756"/>
      <c r="AB39" s="752">
        <v>0</v>
      </c>
      <c r="AC39" s="752">
        <f>SUM(Y39+Z39+AA39+AB39)</f>
        <v>201.45</v>
      </c>
      <c r="AD39" s="752" t="s">
        <v>6357</v>
      </c>
      <c r="AE39" s="754">
        <f t="shared" si="2"/>
        <v>74.849999999999994</v>
      </c>
      <c r="AF39" s="283">
        <v>74.849999999999994</v>
      </c>
      <c r="AG39" s="283">
        <f t="shared" si="3"/>
        <v>82.34</v>
      </c>
      <c r="AH39" s="283">
        <f t="shared" si="4"/>
        <v>89.82</v>
      </c>
      <c r="AI39" s="283">
        <f t="shared" si="5"/>
        <v>112.28</v>
      </c>
      <c r="AJ39" s="283">
        <f t="shared" si="6"/>
        <v>78.59</v>
      </c>
      <c r="AK39" s="283">
        <f t="shared" si="7"/>
        <v>93.56</v>
      </c>
    </row>
    <row r="40" spans="1:37" ht="24" customHeight="1">
      <c r="A40" s="792">
        <f t="shared" si="10"/>
        <v>29</v>
      </c>
      <c r="B40" s="374" t="s">
        <v>1013</v>
      </c>
      <c r="C40" s="283">
        <v>28</v>
      </c>
      <c r="D40" s="283">
        <v>116.2</v>
      </c>
      <c r="H40" s="374" t="s">
        <v>1516</v>
      </c>
      <c r="K40" s="751">
        <f>SUM(K35:K38)</f>
        <v>4364.46</v>
      </c>
      <c r="T40" s="758"/>
      <c r="U40" s="754"/>
      <c r="V40" s="754"/>
      <c r="W40" s="756" t="s">
        <v>1586</v>
      </c>
      <c r="X40" s="754"/>
      <c r="Y40" s="754"/>
      <c r="Z40" s="761"/>
      <c r="AA40" s="754"/>
      <c r="AB40" s="754"/>
      <c r="AC40" s="754"/>
      <c r="AD40" s="754"/>
      <c r="AE40" s="754">
        <f t="shared" si="2"/>
        <v>0</v>
      </c>
      <c r="AG40" s="283">
        <f t="shared" si="3"/>
        <v>0</v>
      </c>
      <c r="AH40" s="283">
        <f t="shared" si="4"/>
        <v>0</v>
      </c>
      <c r="AI40" s="283">
        <f t="shared" si="5"/>
        <v>0</v>
      </c>
      <c r="AJ40" s="283">
        <f t="shared" si="6"/>
        <v>0</v>
      </c>
      <c r="AK40" s="283">
        <f t="shared" si="7"/>
        <v>0</v>
      </c>
    </row>
    <row r="41" spans="1:37" ht="24" customHeight="1">
      <c r="A41" s="792">
        <f t="shared" si="10"/>
        <v>30</v>
      </c>
      <c r="B41" s="374" t="s">
        <v>1769</v>
      </c>
      <c r="C41" s="283">
        <f>AE22</f>
        <v>738</v>
      </c>
      <c r="D41" s="374" t="s">
        <v>769</v>
      </c>
      <c r="K41" s="748" t="s">
        <v>1586</v>
      </c>
      <c r="T41" s="754"/>
      <c r="U41" s="752" t="s">
        <v>5815</v>
      </c>
      <c r="V41" s="752" t="s">
        <v>1446</v>
      </c>
      <c r="W41" s="756"/>
      <c r="X41" s="754">
        <f>'lead  charge'!M10</f>
        <v>0</v>
      </c>
      <c r="Y41" s="754">
        <v>6595</v>
      </c>
      <c r="Z41" s="761">
        <f>'lead  charge'!N10</f>
        <v>0</v>
      </c>
      <c r="AA41" s="756">
        <v>0</v>
      </c>
      <c r="AB41" s="752">
        <v>0</v>
      </c>
      <c r="AC41" s="752">
        <f t="shared" ref="AC41:AC47" si="11">SUM(Y41+Z41+AA41+AB41)</f>
        <v>6595</v>
      </c>
      <c r="AD41" s="763" t="s">
        <v>5253</v>
      </c>
      <c r="AE41" s="754">
        <f t="shared" si="2"/>
        <v>78.900000000000006</v>
      </c>
      <c r="AF41" s="283">
        <v>78.900000000000006</v>
      </c>
      <c r="AG41" s="283">
        <f t="shared" si="3"/>
        <v>86.79</v>
      </c>
      <c r="AH41" s="283">
        <f t="shared" si="4"/>
        <v>94.68</v>
      </c>
      <c r="AI41" s="283">
        <f t="shared" si="5"/>
        <v>118.35</v>
      </c>
      <c r="AJ41" s="283">
        <f t="shared" si="6"/>
        <v>82.85</v>
      </c>
      <c r="AK41" s="283">
        <f t="shared" si="7"/>
        <v>98.63</v>
      </c>
    </row>
    <row r="42" spans="1:37" ht="24" customHeight="1">
      <c r="A42" s="792">
        <f t="shared" si="10"/>
        <v>31</v>
      </c>
      <c r="B42" s="374" t="s">
        <v>1770</v>
      </c>
      <c r="C42" s="283">
        <v>5</v>
      </c>
      <c r="D42" s="374" t="s">
        <v>1771</v>
      </c>
      <c r="G42" s="283" t="s">
        <v>2251</v>
      </c>
      <c r="H42" s="374" t="s">
        <v>1625</v>
      </c>
      <c r="T42" s="754"/>
      <c r="U42" s="752" t="s">
        <v>5816</v>
      </c>
      <c r="V42" s="752" t="s">
        <v>1446</v>
      </c>
      <c r="W42" s="756">
        <f>W41</f>
        <v>0</v>
      </c>
      <c r="X42" s="754">
        <f>X41</f>
        <v>0</v>
      </c>
      <c r="Y42" s="754">
        <v>6795</v>
      </c>
      <c r="Z42" s="761">
        <f>Z41</f>
        <v>0</v>
      </c>
      <c r="AA42" s="756">
        <v>0</v>
      </c>
      <c r="AB42" s="752">
        <v>0</v>
      </c>
      <c r="AC42" s="752">
        <f t="shared" si="11"/>
        <v>6795</v>
      </c>
      <c r="AD42" s="763" t="s">
        <v>374</v>
      </c>
      <c r="AE42" s="754">
        <f t="shared" si="2"/>
        <v>159.19999999999999</v>
      </c>
      <c r="AF42" s="283">
        <v>159.19999999999999</v>
      </c>
      <c r="AG42" s="283">
        <f t="shared" si="3"/>
        <v>175.12</v>
      </c>
      <c r="AH42" s="283">
        <f t="shared" si="4"/>
        <v>191.04</v>
      </c>
      <c r="AI42" s="283">
        <f t="shared" si="5"/>
        <v>238.8</v>
      </c>
      <c r="AJ42" s="283">
        <f t="shared" si="6"/>
        <v>167.16</v>
      </c>
      <c r="AK42" s="283">
        <f t="shared" si="7"/>
        <v>199</v>
      </c>
    </row>
    <row r="43" spans="1:37" ht="24" customHeight="1">
      <c r="A43" s="792">
        <f t="shared" si="10"/>
        <v>32</v>
      </c>
      <c r="B43" s="374" t="s">
        <v>5254</v>
      </c>
      <c r="C43" s="283">
        <v>9.35</v>
      </c>
      <c r="D43" s="374" t="s">
        <v>769</v>
      </c>
      <c r="H43" s="748" t="s">
        <v>1586</v>
      </c>
      <c r="T43" s="754"/>
      <c r="U43" s="752" t="s">
        <v>6021</v>
      </c>
      <c r="V43" s="752" t="s">
        <v>2151</v>
      </c>
      <c r="W43" s="756" t="str">
        <f>W11</f>
        <v>Allappanur</v>
      </c>
      <c r="X43" s="754">
        <f>'lead  charge'!P13</f>
        <v>8</v>
      </c>
      <c r="Y43" s="754">
        <v>123.7</v>
      </c>
      <c r="Z43" s="761">
        <f>'lead  charge'!Q13</f>
        <v>63.92</v>
      </c>
      <c r="AA43" s="756">
        <v>0</v>
      </c>
      <c r="AB43" s="752">
        <v>0</v>
      </c>
      <c r="AC43" s="752">
        <f t="shared" si="11"/>
        <v>187.62</v>
      </c>
      <c r="AD43" s="763" t="s">
        <v>2262</v>
      </c>
      <c r="AE43" s="754">
        <f t="shared" si="2"/>
        <v>159.19999999999999</v>
      </c>
      <c r="AF43" s="283">
        <f>AF42</f>
        <v>159.19999999999999</v>
      </c>
      <c r="AG43" s="283">
        <f t="shared" si="3"/>
        <v>175.12</v>
      </c>
      <c r="AH43" s="283">
        <f t="shared" si="4"/>
        <v>191.04</v>
      </c>
      <c r="AI43" s="283">
        <f t="shared" si="5"/>
        <v>238.8</v>
      </c>
      <c r="AJ43" s="283">
        <f t="shared" si="6"/>
        <v>167.16</v>
      </c>
      <c r="AK43" s="283">
        <f t="shared" si="7"/>
        <v>199</v>
      </c>
    </row>
    <row r="44" spans="1:37" ht="24" customHeight="1">
      <c r="A44" s="792">
        <f t="shared" si="10"/>
        <v>33</v>
      </c>
      <c r="B44" s="374" t="s">
        <v>260</v>
      </c>
      <c r="C44" s="283">
        <v>9.35</v>
      </c>
      <c r="D44" s="374" t="s">
        <v>769</v>
      </c>
      <c r="F44" s="746">
        <v>0.28799999999999998</v>
      </c>
      <c r="G44" s="283" t="s">
        <v>861</v>
      </c>
      <c r="H44" s="374" t="s">
        <v>862</v>
      </c>
      <c r="I44" s="283">
        <f>(C68)</f>
        <v>6040</v>
      </c>
      <c r="J44" s="374" t="s">
        <v>861</v>
      </c>
      <c r="K44" s="283">
        <f>(F44*I44)</f>
        <v>1739.52</v>
      </c>
      <c r="T44" s="754"/>
      <c r="U44" s="752" t="s">
        <v>4570</v>
      </c>
      <c r="V44" s="752" t="s">
        <v>2151</v>
      </c>
      <c r="W44" s="756" t="str">
        <f>W43</f>
        <v>Allappanur</v>
      </c>
      <c r="X44" s="754">
        <f>X11</f>
        <v>8</v>
      </c>
      <c r="Y44" s="754">
        <f>ROUND((687+1016)/2,2)</f>
        <v>851.5</v>
      </c>
      <c r="Z44" s="761">
        <f>Z11</f>
        <v>93.2</v>
      </c>
      <c r="AA44" s="756">
        <v>0</v>
      </c>
      <c r="AB44" s="752">
        <v>0</v>
      </c>
      <c r="AC44" s="752">
        <f t="shared" si="11"/>
        <v>944.7</v>
      </c>
      <c r="AD44" s="763" t="s">
        <v>5255</v>
      </c>
      <c r="AE44" s="754">
        <f t="shared" si="2"/>
        <v>119.85</v>
      </c>
      <c r="AF44" s="283">
        <v>119.85</v>
      </c>
      <c r="AG44" s="283">
        <f t="shared" si="3"/>
        <v>131.84</v>
      </c>
      <c r="AH44" s="283">
        <f t="shared" si="4"/>
        <v>143.82</v>
      </c>
      <c r="AI44" s="283">
        <f t="shared" si="5"/>
        <v>179.78</v>
      </c>
      <c r="AJ44" s="283">
        <f t="shared" si="6"/>
        <v>125.84</v>
      </c>
      <c r="AK44" s="283">
        <f t="shared" si="7"/>
        <v>149.81</v>
      </c>
    </row>
    <row r="45" spans="1:37" ht="24" customHeight="1">
      <c r="A45" s="792">
        <f t="shared" si="10"/>
        <v>34</v>
      </c>
      <c r="B45" s="374" t="s">
        <v>1912</v>
      </c>
      <c r="C45" s="283">
        <v>11.2</v>
      </c>
      <c r="D45" s="374" t="s">
        <v>769</v>
      </c>
      <c r="F45" s="283">
        <v>1</v>
      </c>
      <c r="G45" s="283" t="s">
        <v>869</v>
      </c>
      <c r="H45" s="374" t="s">
        <v>870</v>
      </c>
      <c r="I45" s="283">
        <f>I36</f>
        <v>2074.06</v>
      </c>
      <c r="J45" s="374" t="s">
        <v>869</v>
      </c>
      <c r="K45" s="283">
        <f>(F45*I45)</f>
        <v>2074.06</v>
      </c>
      <c r="T45" s="754"/>
      <c r="U45" s="752" t="s">
        <v>6022</v>
      </c>
      <c r="V45" s="754"/>
      <c r="W45" s="756">
        <f>W41</f>
        <v>0</v>
      </c>
      <c r="X45" s="754">
        <f>'lead  charge'!M10</f>
        <v>0</v>
      </c>
      <c r="Y45" s="754">
        <v>6595</v>
      </c>
      <c r="Z45" s="761">
        <f>Z41</f>
        <v>0</v>
      </c>
      <c r="AA45" s="754"/>
      <c r="AB45" s="754"/>
      <c r="AC45" s="752">
        <f t="shared" si="11"/>
        <v>6595</v>
      </c>
      <c r="AD45" s="763" t="s">
        <v>285</v>
      </c>
      <c r="AE45" s="754">
        <f t="shared" si="2"/>
        <v>236.1</v>
      </c>
      <c r="AF45" s="283">
        <v>236.1</v>
      </c>
      <c r="AG45" s="283">
        <f t="shared" si="3"/>
        <v>259.70999999999998</v>
      </c>
      <c r="AH45" s="283">
        <f t="shared" si="4"/>
        <v>283.32</v>
      </c>
      <c r="AI45" s="283">
        <f t="shared" si="5"/>
        <v>354.15</v>
      </c>
      <c r="AJ45" s="283">
        <f t="shared" si="6"/>
        <v>247.91</v>
      </c>
      <c r="AK45" s="283">
        <f t="shared" si="7"/>
        <v>295.13</v>
      </c>
    </row>
    <row r="46" spans="1:37" ht="24" customHeight="1">
      <c r="A46" s="792">
        <f t="shared" si="10"/>
        <v>35</v>
      </c>
      <c r="B46" s="374" t="s">
        <v>76</v>
      </c>
      <c r="C46" s="283">
        <v>13.55</v>
      </c>
      <c r="D46" s="374" t="s">
        <v>769</v>
      </c>
      <c r="F46" s="283">
        <v>1</v>
      </c>
      <c r="G46" s="283" t="s">
        <v>869</v>
      </c>
      <c r="H46" s="374" t="s">
        <v>874</v>
      </c>
      <c r="I46" s="283">
        <f>(C18)</f>
        <v>116</v>
      </c>
      <c r="J46" s="374" t="s">
        <v>869</v>
      </c>
      <c r="K46" s="283">
        <f>(F46*I46)</f>
        <v>116</v>
      </c>
      <c r="T46" s="754"/>
      <c r="U46" s="752" t="s">
        <v>4562</v>
      </c>
      <c r="V46" s="752" t="s">
        <v>866</v>
      </c>
      <c r="W46" s="756" t="str">
        <f>W37</f>
        <v>Allappanur</v>
      </c>
      <c r="X46" s="754">
        <f>X37</f>
        <v>8</v>
      </c>
      <c r="Y46" s="753">
        <v>1338</v>
      </c>
      <c r="Z46" s="761">
        <f>'lead  charge'!E11</f>
        <v>736.06</v>
      </c>
      <c r="AA46" s="756"/>
      <c r="AB46" s="752">
        <v>0</v>
      </c>
      <c r="AC46" s="752">
        <f t="shared" si="11"/>
        <v>2074.06</v>
      </c>
      <c r="AD46" s="763" t="s">
        <v>831</v>
      </c>
      <c r="AE46" s="754">
        <f t="shared" si="2"/>
        <v>236.1</v>
      </c>
      <c r="AF46" s="283">
        <f>AF45</f>
        <v>236.1</v>
      </c>
      <c r="AG46" s="283">
        <f t="shared" si="3"/>
        <v>259.70999999999998</v>
      </c>
      <c r="AH46" s="283">
        <f t="shared" si="4"/>
        <v>283.32</v>
      </c>
      <c r="AI46" s="283">
        <f t="shared" si="5"/>
        <v>354.15</v>
      </c>
      <c r="AJ46" s="283">
        <f t="shared" si="6"/>
        <v>247.91</v>
      </c>
      <c r="AK46" s="283">
        <f t="shared" si="7"/>
        <v>295.13</v>
      </c>
    </row>
    <row r="47" spans="1:37" ht="24" customHeight="1">
      <c r="A47" s="792">
        <f t="shared" si="10"/>
        <v>36</v>
      </c>
      <c r="B47" s="374" t="s">
        <v>78</v>
      </c>
      <c r="C47" s="283">
        <v>18.3</v>
      </c>
      <c r="D47" s="374" t="s">
        <v>769</v>
      </c>
      <c r="G47" s="283" t="s">
        <v>449</v>
      </c>
      <c r="H47" s="374" t="s">
        <v>450</v>
      </c>
      <c r="I47" s="374" t="s">
        <v>975</v>
      </c>
      <c r="J47" s="374" t="s">
        <v>449</v>
      </c>
      <c r="K47" s="283">
        <v>0</v>
      </c>
      <c r="N47" s="374" t="s">
        <v>2251</v>
      </c>
      <c r="O47" s="374" t="s">
        <v>1255</v>
      </c>
      <c r="T47" s="754"/>
      <c r="U47" s="752" t="s">
        <v>4344</v>
      </c>
      <c r="V47" s="752" t="s">
        <v>866</v>
      </c>
      <c r="W47" s="756" t="str">
        <f>W46</f>
        <v>Allappanur</v>
      </c>
      <c r="X47" s="754">
        <f>X46</f>
        <v>8</v>
      </c>
      <c r="Y47" s="753">
        <f>Y46</f>
        <v>1338</v>
      </c>
      <c r="Z47" s="761">
        <f>Z46</f>
        <v>736.06</v>
      </c>
      <c r="AA47" s="756"/>
      <c r="AB47" s="752">
        <v>0</v>
      </c>
      <c r="AC47" s="752">
        <f t="shared" si="11"/>
        <v>2074.06</v>
      </c>
      <c r="AD47" s="764"/>
      <c r="AE47" s="754">
        <f t="shared" si="2"/>
        <v>0</v>
      </c>
      <c r="AG47" s="283">
        <f t="shared" si="3"/>
        <v>0</v>
      </c>
      <c r="AH47" s="283">
        <f t="shared" si="4"/>
        <v>0</v>
      </c>
      <c r="AI47" s="283">
        <f t="shared" si="5"/>
        <v>0</v>
      </c>
      <c r="AJ47" s="283">
        <f t="shared" si="6"/>
        <v>0</v>
      </c>
      <c r="AK47" s="283">
        <f t="shared" si="7"/>
        <v>0</v>
      </c>
    </row>
    <row r="48" spans="1:37" ht="24" customHeight="1">
      <c r="A48" s="792">
        <f t="shared" si="10"/>
        <v>37</v>
      </c>
      <c r="B48" s="374" t="s">
        <v>1256</v>
      </c>
      <c r="C48" s="283">
        <v>23.5</v>
      </c>
      <c r="D48" s="283">
        <v>47.35</v>
      </c>
      <c r="K48" s="748" t="s">
        <v>1586</v>
      </c>
      <c r="O48" s="374" t="s">
        <v>643</v>
      </c>
      <c r="T48" s="758" t="s">
        <v>1586</v>
      </c>
      <c r="U48" s="758" t="s">
        <v>1586</v>
      </c>
      <c r="V48" s="758" t="s">
        <v>1586</v>
      </c>
      <c r="W48" s="758" t="s">
        <v>1586</v>
      </c>
      <c r="X48" s="758" t="s">
        <v>1586</v>
      </c>
      <c r="Y48" s="758" t="s">
        <v>1586</v>
      </c>
      <c r="Z48" s="758" t="s">
        <v>1586</v>
      </c>
      <c r="AA48" s="758" t="s">
        <v>1586</v>
      </c>
      <c r="AB48" s="758" t="s">
        <v>1586</v>
      </c>
      <c r="AC48" s="758" t="s">
        <v>1586</v>
      </c>
      <c r="AD48" s="758" t="s">
        <v>1586</v>
      </c>
      <c r="AE48" s="754" t="str">
        <f t="shared" si="2"/>
        <v>-</v>
      </c>
      <c r="AF48" s="748" t="s">
        <v>1586</v>
      </c>
      <c r="AG48" s="283">
        <f t="shared" si="3"/>
        <v>0</v>
      </c>
      <c r="AH48" s="283">
        <f t="shared" si="4"/>
        <v>0</v>
      </c>
      <c r="AI48" s="283">
        <f t="shared" si="5"/>
        <v>0</v>
      </c>
      <c r="AJ48" s="283">
        <f t="shared" si="6"/>
        <v>0</v>
      </c>
      <c r="AK48" s="283">
        <f t="shared" si="7"/>
        <v>0</v>
      </c>
    </row>
    <row r="49" spans="1:45" ht="24" customHeight="1">
      <c r="A49" s="792">
        <f t="shared" si="10"/>
        <v>38</v>
      </c>
      <c r="B49" s="374" t="s">
        <v>1706</v>
      </c>
      <c r="C49" s="283">
        <v>25.5</v>
      </c>
      <c r="D49" s="283">
        <v>33.200000000000003</v>
      </c>
      <c r="H49" s="374" t="s">
        <v>1516</v>
      </c>
      <c r="K49" s="751">
        <f>SUM(K44:K47)</f>
        <v>3929.58</v>
      </c>
      <c r="O49" s="748" t="s">
        <v>1586</v>
      </c>
      <c r="T49" s="754"/>
      <c r="U49" s="754"/>
      <c r="V49" s="754"/>
      <c r="W49" s="756"/>
      <c r="X49" s="754"/>
      <c r="Y49" s="754"/>
      <c r="Z49" s="761"/>
      <c r="AA49" s="754"/>
      <c r="AB49" s="754"/>
      <c r="AC49" s="754"/>
      <c r="AD49" s="763"/>
      <c r="AE49" s="754"/>
      <c r="AF49" s="283">
        <v>4.2</v>
      </c>
      <c r="AG49" s="283">
        <f t="shared" si="3"/>
        <v>4.62</v>
      </c>
      <c r="AH49" s="283">
        <f t="shared" si="4"/>
        <v>5.04</v>
      </c>
      <c r="AI49" s="283">
        <f t="shared" si="5"/>
        <v>6.3</v>
      </c>
      <c r="AJ49" s="283">
        <f t="shared" si="6"/>
        <v>4.41</v>
      </c>
      <c r="AK49" s="283">
        <f t="shared" si="7"/>
        <v>5.25</v>
      </c>
    </row>
    <row r="50" spans="1:45" ht="24" customHeight="1">
      <c r="A50" s="792">
        <f t="shared" si="10"/>
        <v>39</v>
      </c>
      <c r="B50" s="374" t="s">
        <v>4025</v>
      </c>
      <c r="C50" s="283">
        <v>13.35</v>
      </c>
      <c r="D50" s="374" t="s">
        <v>769</v>
      </c>
      <c r="K50" s="748" t="s">
        <v>1586</v>
      </c>
      <c r="M50" s="283">
        <v>9</v>
      </c>
      <c r="N50" s="374" t="s">
        <v>869</v>
      </c>
      <c r="O50" s="374" t="s">
        <v>643</v>
      </c>
      <c r="P50" s="283">
        <f>(C82)</f>
        <v>812.26</v>
      </c>
      <c r="Q50" s="374" t="s">
        <v>869</v>
      </c>
      <c r="R50" s="283">
        <f>(M50*P50)</f>
        <v>7310.34</v>
      </c>
      <c r="T50" s="754"/>
      <c r="U50" s="754" t="s">
        <v>6358</v>
      </c>
      <c r="V50" s="754"/>
      <c r="W50" s="756"/>
      <c r="X50" s="754"/>
      <c r="Y50" s="754"/>
      <c r="Z50" s="761"/>
      <c r="AA50" s="754"/>
      <c r="AB50" s="754"/>
      <c r="AC50" s="754"/>
      <c r="AD50" s="763"/>
      <c r="AE50" s="754"/>
      <c r="AF50" s="283">
        <v>5.25</v>
      </c>
      <c r="AG50" s="283">
        <f t="shared" si="3"/>
        <v>5.78</v>
      </c>
      <c r="AH50" s="283">
        <f t="shared" si="4"/>
        <v>6.3</v>
      </c>
      <c r="AI50" s="283">
        <f t="shared" si="5"/>
        <v>7.88</v>
      </c>
      <c r="AJ50" s="283">
        <f t="shared" si="6"/>
        <v>5.51</v>
      </c>
      <c r="AK50" s="283">
        <f t="shared" si="7"/>
        <v>6.56</v>
      </c>
    </row>
    <row r="51" spans="1:45" ht="24" customHeight="1">
      <c r="A51" s="792">
        <f t="shared" si="10"/>
        <v>40</v>
      </c>
      <c r="B51" s="374" t="s">
        <v>1630</v>
      </c>
      <c r="C51" s="283">
        <v>13.5</v>
      </c>
      <c r="D51" s="374" t="s">
        <v>769</v>
      </c>
      <c r="G51" s="283" t="s">
        <v>2251</v>
      </c>
      <c r="H51" s="374" t="s">
        <v>1631</v>
      </c>
      <c r="M51" s="283">
        <v>4.5</v>
      </c>
      <c r="N51" s="374" t="s">
        <v>869</v>
      </c>
      <c r="O51" s="374" t="s">
        <v>1632</v>
      </c>
      <c r="P51" s="283">
        <f>(K78)</f>
        <v>3277.26</v>
      </c>
      <c r="Q51" s="374" t="s">
        <v>869</v>
      </c>
      <c r="R51" s="283">
        <f>(M51*P51)</f>
        <v>14747.67</v>
      </c>
      <c r="T51" s="754"/>
      <c r="U51" s="754"/>
      <c r="V51" s="754"/>
      <c r="W51" s="756"/>
      <c r="X51" s="754"/>
      <c r="Y51" s="754"/>
      <c r="Z51" s="761"/>
      <c r="AA51" s="754"/>
      <c r="AB51" s="754"/>
      <c r="AC51" s="754"/>
      <c r="AD51" s="763"/>
      <c r="AE51" s="754"/>
      <c r="AG51" s="283">
        <f t="shared" si="3"/>
        <v>0</v>
      </c>
      <c r="AH51" s="283">
        <f t="shared" si="4"/>
        <v>0</v>
      </c>
      <c r="AI51" s="283">
        <f t="shared" si="5"/>
        <v>0</v>
      </c>
      <c r="AJ51" s="283">
        <f t="shared" si="6"/>
        <v>0</v>
      </c>
      <c r="AK51" s="283">
        <f t="shared" si="7"/>
        <v>0</v>
      </c>
    </row>
    <row r="52" spans="1:45" ht="24" customHeight="1">
      <c r="A52" s="792"/>
      <c r="B52" s="374"/>
      <c r="D52" s="374"/>
      <c r="H52" s="374"/>
      <c r="N52" s="374"/>
      <c r="O52" s="374"/>
      <c r="Q52" s="374"/>
      <c r="T52" s="754"/>
      <c r="U52" s="754"/>
      <c r="V52" s="754"/>
      <c r="W52" s="756"/>
      <c r="X52" s="754"/>
      <c r="Y52" s="754"/>
      <c r="Z52" s="761"/>
      <c r="AA52" s="754"/>
      <c r="AB52" s="754"/>
      <c r="AC52" s="754"/>
      <c r="AD52" s="763"/>
      <c r="AE52" s="754"/>
    </row>
    <row r="53" spans="1:45" ht="24" customHeight="1">
      <c r="A53" s="792">
        <f>(A51+1)</f>
        <v>41</v>
      </c>
      <c r="B53" s="374" t="s">
        <v>1711</v>
      </c>
      <c r="C53" s="283">
        <v>28.05</v>
      </c>
      <c r="D53" s="374" t="s">
        <v>769</v>
      </c>
      <c r="H53" s="748" t="s">
        <v>1586</v>
      </c>
      <c r="M53" s="283">
        <v>1.8</v>
      </c>
      <c r="N53" s="374" t="s">
        <v>868</v>
      </c>
      <c r="O53" s="374" t="s">
        <v>1712</v>
      </c>
      <c r="P53" s="283">
        <f>(C11)</f>
        <v>932</v>
      </c>
      <c r="Q53" s="374" t="s">
        <v>868</v>
      </c>
      <c r="R53" s="283">
        <f>(M53*P53)</f>
        <v>1677.6</v>
      </c>
      <c r="T53" s="754"/>
      <c r="U53" s="754"/>
      <c r="V53" s="754"/>
      <c r="W53" s="756"/>
      <c r="X53" s="754"/>
      <c r="Y53" s="754"/>
      <c r="Z53" s="761"/>
      <c r="AA53" s="754"/>
      <c r="AB53" s="754"/>
      <c r="AC53" s="754"/>
      <c r="AD53" s="763"/>
      <c r="AE53" s="754"/>
      <c r="AF53" s="283">
        <v>214.1</v>
      </c>
      <c r="AG53" s="283">
        <f t="shared" si="3"/>
        <v>235.51</v>
      </c>
      <c r="AH53" s="283">
        <f t="shared" si="4"/>
        <v>256.92</v>
      </c>
      <c r="AI53" s="283">
        <f t="shared" si="5"/>
        <v>321.14999999999998</v>
      </c>
      <c r="AJ53" s="283">
        <f t="shared" si="6"/>
        <v>224.81</v>
      </c>
      <c r="AK53" s="283">
        <f t="shared" si="7"/>
        <v>267.63</v>
      </c>
    </row>
    <row r="54" spans="1:45" ht="24" customHeight="1">
      <c r="A54" s="792">
        <f t="shared" si="10"/>
        <v>42</v>
      </c>
      <c r="B54" s="374" t="s">
        <v>1901</v>
      </c>
      <c r="C54" s="283">
        <v>37.85</v>
      </c>
      <c r="D54" s="283">
        <v>95.55</v>
      </c>
      <c r="F54" s="283">
        <v>0.24</v>
      </c>
      <c r="G54" s="283" t="s">
        <v>861</v>
      </c>
      <c r="H54" s="374" t="s">
        <v>862</v>
      </c>
      <c r="I54" s="283">
        <f>(C68)</f>
        <v>6040</v>
      </c>
      <c r="J54" s="374" t="s">
        <v>861</v>
      </c>
      <c r="K54" s="283">
        <f>(F54*I54)</f>
        <v>1449.6</v>
      </c>
      <c r="M54" s="283">
        <v>17.7</v>
      </c>
      <c r="N54" s="374" t="s">
        <v>868</v>
      </c>
      <c r="O54" s="374" t="s">
        <v>1902</v>
      </c>
      <c r="P54" s="283">
        <f>(C12)</f>
        <v>651</v>
      </c>
      <c r="Q54" s="374" t="s">
        <v>868</v>
      </c>
      <c r="R54" s="283">
        <f>(M54*P54)</f>
        <v>11522.7</v>
      </c>
      <c r="T54" s="754"/>
      <c r="U54" s="754" t="s">
        <v>6511</v>
      </c>
      <c r="V54" s="754"/>
      <c r="W54" s="756" t="s">
        <v>6512</v>
      </c>
      <c r="X54" s="754"/>
      <c r="Y54" s="754"/>
      <c r="Z54" s="761"/>
      <c r="AA54" s="754"/>
      <c r="AB54" s="754"/>
      <c r="AC54" s="754" t="s">
        <v>6398</v>
      </c>
      <c r="AD54" s="763"/>
      <c r="AE54" s="754"/>
      <c r="AF54" s="283">
        <v>330.2</v>
      </c>
      <c r="AG54" s="283">
        <f t="shared" si="3"/>
        <v>363.22</v>
      </c>
      <c r="AH54" s="283">
        <f t="shared" si="4"/>
        <v>396.24</v>
      </c>
      <c r="AI54" s="283">
        <f t="shared" si="5"/>
        <v>495.3</v>
      </c>
      <c r="AJ54" s="283">
        <f t="shared" si="6"/>
        <v>346.71</v>
      </c>
      <c r="AK54" s="283">
        <f t="shared" si="7"/>
        <v>412.75</v>
      </c>
    </row>
    <row r="55" spans="1:45" ht="24" hidden="1" customHeight="1">
      <c r="A55" s="792">
        <f t="shared" si="10"/>
        <v>43</v>
      </c>
      <c r="B55" s="374" t="s">
        <v>319</v>
      </c>
      <c r="C55" s="283">
        <v>42.65</v>
      </c>
      <c r="D55" s="283">
        <v>72.150000000000006</v>
      </c>
      <c r="F55" s="283">
        <v>1</v>
      </c>
      <c r="G55" s="283" t="s">
        <v>869</v>
      </c>
      <c r="H55" s="374" t="s">
        <v>870</v>
      </c>
      <c r="I55" s="283">
        <f>(C79)</f>
        <v>2074.06</v>
      </c>
      <c r="J55" s="374" t="s">
        <v>869</v>
      </c>
      <c r="K55" s="283">
        <f>(F55*I55)</f>
        <v>2074.06</v>
      </c>
      <c r="M55" s="283">
        <v>14.1</v>
      </c>
      <c r="N55" s="374" t="s">
        <v>868</v>
      </c>
      <c r="O55" s="374" t="s">
        <v>320</v>
      </c>
      <c r="P55" s="283">
        <f>(C13)</f>
        <v>534</v>
      </c>
      <c r="Q55" s="374" t="s">
        <v>868</v>
      </c>
      <c r="R55" s="283">
        <f>(M55*P55)</f>
        <v>7529.4</v>
      </c>
      <c r="T55" s="754"/>
      <c r="U55" s="754"/>
      <c r="V55" s="754"/>
      <c r="W55" s="756"/>
      <c r="X55" s="754"/>
      <c r="Y55" s="754"/>
      <c r="Z55" s="761"/>
      <c r="AA55" s="754"/>
      <c r="AB55" s="754"/>
      <c r="AC55" s="754"/>
      <c r="AD55" s="763"/>
      <c r="AE55" s="754"/>
      <c r="AF55" s="283">
        <v>9.1</v>
      </c>
      <c r="AG55" s="283">
        <f t="shared" si="3"/>
        <v>10.01</v>
      </c>
      <c r="AH55" s="283">
        <f t="shared" si="4"/>
        <v>10.92</v>
      </c>
      <c r="AI55" s="283">
        <f t="shared" si="5"/>
        <v>13.65</v>
      </c>
      <c r="AJ55" s="283">
        <f t="shared" si="6"/>
        <v>9.56</v>
      </c>
      <c r="AK55" s="283">
        <f t="shared" si="7"/>
        <v>11.38</v>
      </c>
    </row>
    <row r="56" spans="1:45" ht="24" hidden="1" customHeight="1">
      <c r="A56" s="792">
        <f t="shared" si="10"/>
        <v>44</v>
      </c>
      <c r="B56" s="374" t="s">
        <v>322</v>
      </c>
      <c r="C56" s="283">
        <v>47.35</v>
      </c>
      <c r="D56" s="283">
        <v>57.25</v>
      </c>
      <c r="F56" s="283">
        <v>1</v>
      </c>
      <c r="G56" s="283" t="s">
        <v>869</v>
      </c>
      <c r="H56" s="374" t="s">
        <v>874</v>
      </c>
      <c r="I56" s="283">
        <f>(C18)</f>
        <v>116</v>
      </c>
      <c r="J56" s="374" t="s">
        <v>869</v>
      </c>
      <c r="K56" s="283">
        <f>(F56*I56)</f>
        <v>116</v>
      </c>
      <c r="N56" s="374" t="s">
        <v>449</v>
      </c>
      <c r="O56" s="374" t="s">
        <v>450</v>
      </c>
      <c r="Q56" s="374" t="s">
        <v>449</v>
      </c>
      <c r="R56" s="283">
        <v>0</v>
      </c>
      <c r="T56" s="754"/>
      <c r="U56" s="754"/>
      <c r="V56" s="754"/>
      <c r="W56" s="756"/>
      <c r="X56" s="754"/>
      <c r="Y56" s="754"/>
      <c r="Z56" s="761"/>
      <c r="AA56" s="754"/>
      <c r="AB56" s="754"/>
      <c r="AC56" s="754"/>
      <c r="AD56" s="763"/>
      <c r="AE56" s="754"/>
      <c r="AF56" s="283">
        <v>9.85</v>
      </c>
      <c r="AG56" s="283">
        <f t="shared" si="3"/>
        <v>10.84</v>
      </c>
      <c r="AH56" s="283">
        <f t="shared" si="4"/>
        <v>11.82</v>
      </c>
      <c r="AI56" s="283">
        <f t="shared" si="5"/>
        <v>14.78</v>
      </c>
      <c r="AJ56" s="283">
        <f t="shared" si="6"/>
        <v>10.34</v>
      </c>
      <c r="AK56" s="283">
        <f t="shared" si="7"/>
        <v>12.31</v>
      </c>
    </row>
    <row r="57" spans="1:45" ht="24" hidden="1" customHeight="1">
      <c r="A57" s="792">
        <f t="shared" si="10"/>
        <v>45</v>
      </c>
      <c r="B57" s="374" t="s">
        <v>323</v>
      </c>
      <c r="C57" s="283">
        <v>12.1</v>
      </c>
      <c r="D57" s="374" t="s">
        <v>449</v>
      </c>
      <c r="G57" s="283" t="s">
        <v>449</v>
      </c>
      <c r="H57" s="374" t="s">
        <v>450</v>
      </c>
      <c r="I57" s="374" t="s">
        <v>975</v>
      </c>
      <c r="J57" s="374" t="s">
        <v>449</v>
      </c>
      <c r="K57" s="283">
        <v>0</v>
      </c>
      <c r="R57" s="748" t="s">
        <v>1586</v>
      </c>
      <c r="T57" s="754"/>
      <c r="U57" s="754"/>
      <c r="V57" s="754"/>
      <c r="W57" s="756"/>
      <c r="X57" s="754"/>
      <c r="Y57" s="754"/>
      <c r="Z57" s="754"/>
      <c r="AA57" s="754"/>
      <c r="AB57" s="754"/>
      <c r="AC57" s="754"/>
      <c r="AD57" s="763"/>
      <c r="AE57" s="754"/>
      <c r="AF57" s="283">
        <v>10.199999999999999</v>
      </c>
      <c r="AG57" s="283">
        <f t="shared" si="3"/>
        <v>11.22</v>
      </c>
      <c r="AH57" s="283">
        <f t="shared" si="4"/>
        <v>12.24</v>
      </c>
      <c r="AI57" s="283">
        <f t="shared" si="5"/>
        <v>15.3</v>
      </c>
      <c r="AJ57" s="283">
        <f t="shared" si="6"/>
        <v>10.71</v>
      </c>
      <c r="AK57" s="283">
        <f t="shared" si="7"/>
        <v>12.75</v>
      </c>
    </row>
    <row r="58" spans="1:45" ht="24" hidden="1" customHeight="1">
      <c r="A58" s="792">
        <f t="shared" si="10"/>
        <v>46</v>
      </c>
      <c r="B58" s="374" t="s">
        <v>5256</v>
      </c>
      <c r="C58" s="283">
        <f>228.6/8</f>
        <v>28.58</v>
      </c>
      <c r="D58" s="374" t="s">
        <v>449</v>
      </c>
      <c r="K58" s="748" t="s">
        <v>1586</v>
      </c>
      <c r="O58" s="374" t="s">
        <v>614</v>
      </c>
      <c r="R58" s="283">
        <f>SUM(R50:R56)</f>
        <v>42787.71</v>
      </c>
      <c r="T58" s="754"/>
      <c r="U58" s="754"/>
      <c r="V58" s="754"/>
      <c r="W58" s="756"/>
      <c r="X58" s="754"/>
      <c r="Y58" s="754"/>
      <c r="Z58" s="754"/>
      <c r="AA58" s="754"/>
      <c r="AB58" s="754"/>
      <c r="AC58" s="754"/>
      <c r="AD58" s="763"/>
      <c r="AE58" s="754"/>
      <c r="AF58" s="283">
        <v>1547</v>
      </c>
      <c r="AG58" s="283">
        <f t="shared" si="3"/>
        <v>1701.7</v>
      </c>
      <c r="AH58" s="283">
        <f t="shared" si="4"/>
        <v>1856.4</v>
      </c>
      <c r="AI58" s="283">
        <f t="shared" si="5"/>
        <v>2320.5</v>
      </c>
      <c r="AJ58" s="283">
        <f t="shared" si="6"/>
        <v>1624.35</v>
      </c>
      <c r="AK58" s="283">
        <f t="shared" si="7"/>
        <v>1933.75</v>
      </c>
    </row>
    <row r="59" spans="1:45" ht="24" hidden="1" customHeight="1">
      <c r="A59" s="792">
        <f t="shared" si="10"/>
        <v>47</v>
      </c>
      <c r="B59" s="374" t="s">
        <v>5817</v>
      </c>
      <c r="C59" s="283">
        <v>11.9</v>
      </c>
      <c r="D59" s="374" t="s">
        <v>5818</v>
      </c>
      <c r="H59" s="374" t="s">
        <v>1516</v>
      </c>
      <c r="K59" s="751">
        <f>SUM(K54:K57)</f>
        <v>3639.66</v>
      </c>
      <c r="R59" s="748" t="s">
        <v>1586</v>
      </c>
      <c r="T59" s="754"/>
      <c r="U59" s="754"/>
      <c r="V59" s="754"/>
      <c r="W59" s="756"/>
      <c r="X59" s="754"/>
      <c r="Y59" s="754"/>
      <c r="Z59" s="754"/>
      <c r="AA59" s="754"/>
      <c r="AB59" s="754"/>
      <c r="AC59" s="754"/>
      <c r="AD59" s="752"/>
      <c r="AE59" s="754"/>
      <c r="AF59" s="283">
        <v>1436</v>
      </c>
      <c r="AG59" s="283">
        <f t="shared" si="3"/>
        <v>1579.6</v>
      </c>
      <c r="AH59" s="283">
        <f t="shared" si="4"/>
        <v>1723.2</v>
      </c>
      <c r="AI59" s="283">
        <f t="shared" si="5"/>
        <v>2154</v>
      </c>
      <c r="AJ59" s="283">
        <f t="shared" si="6"/>
        <v>1507.8</v>
      </c>
      <c r="AK59" s="283">
        <f t="shared" si="7"/>
        <v>1795</v>
      </c>
    </row>
    <row r="60" spans="1:45" ht="24" hidden="1" customHeight="1">
      <c r="F60" s="374" t="s">
        <v>975</v>
      </c>
      <c r="T60" s="754"/>
      <c r="U60" s="754"/>
      <c r="V60" s="754"/>
      <c r="W60" s="756"/>
      <c r="X60" s="754"/>
      <c r="Y60" s="754"/>
      <c r="Z60" s="754"/>
      <c r="AA60" s="754"/>
      <c r="AB60" s="754"/>
      <c r="AC60" s="754"/>
      <c r="AD60" s="752"/>
      <c r="AE60" s="754"/>
      <c r="AF60" s="283">
        <v>10.55</v>
      </c>
      <c r="AG60" s="283">
        <f t="shared" si="3"/>
        <v>11.61</v>
      </c>
      <c r="AH60" s="283">
        <f t="shared" si="4"/>
        <v>12.66</v>
      </c>
      <c r="AI60" s="283">
        <f t="shared" si="5"/>
        <v>15.83</v>
      </c>
      <c r="AJ60" s="283">
        <f t="shared" si="6"/>
        <v>11.08</v>
      </c>
      <c r="AK60" s="283">
        <f t="shared" si="7"/>
        <v>13.19</v>
      </c>
      <c r="AP60" s="751" t="s">
        <v>4342</v>
      </c>
    </row>
    <row r="61" spans="1:45" ht="24" hidden="1" customHeight="1">
      <c r="A61" s="792">
        <f>(A59+1)</f>
        <v>48</v>
      </c>
      <c r="B61" s="374" t="s">
        <v>5257</v>
      </c>
      <c r="C61" s="283">
        <v>32</v>
      </c>
      <c r="D61" s="374" t="s">
        <v>2077</v>
      </c>
      <c r="K61" s="748" t="s">
        <v>1586</v>
      </c>
      <c r="O61" s="374" t="s">
        <v>773</v>
      </c>
      <c r="R61" s="283">
        <f>(R58/10)</f>
        <v>4278.7700000000004</v>
      </c>
      <c r="T61" s="754"/>
      <c r="U61" s="754"/>
      <c r="V61" s="754"/>
      <c r="W61" s="756"/>
      <c r="X61" s="754"/>
      <c r="Y61" s="754"/>
      <c r="Z61" s="754"/>
      <c r="AA61" s="754"/>
      <c r="AB61" s="754"/>
      <c r="AC61" s="754"/>
      <c r="AD61" s="752"/>
      <c r="AE61" s="754"/>
      <c r="AF61" s="283">
        <v>55.35</v>
      </c>
      <c r="AG61" s="283">
        <f t="shared" si="3"/>
        <v>60.89</v>
      </c>
      <c r="AH61" s="283">
        <f t="shared" si="4"/>
        <v>66.42</v>
      </c>
      <c r="AI61" s="283">
        <f t="shared" si="5"/>
        <v>83.03</v>
      </c>
      <c r="AJ61" s="283">
        <f t="shared" si="6"/>
        <v>58.12</v>
      </c>
      <c r="AK61" s="283">
        <f t="shared" si="7"/>
        <v>69.19</v>
      </c>
      <c r="AN61" s="765">
        <v>6.5</v>
      </c>
      <c r="AO61" s="283" t="s">
        <v>2251</v>
      </c>
      <c r="AP61" s="374" t="s">
        <v>3744</v>
      </c>
      <c r="AR61" s="374"/>
    </row>
    <row r="62" spans="1:45" ht="24" customHeight="1">
      <c r="A62" s="792">
        <f t="shared" ref="A62:A92" si="12">(A61+1)</f>
        <v>49</v>
      </c>
      <c r="B62" s="374" t="s">
        <v>5258</v>
      </c>
      <c r="C62" s="283">
        <f>AE29</f>
        <v>112.05</v>
      </c>
      <c r="D62" s="283">
        <f>AE36</f>
        <v>166.9</v>
      </c>
      <c r="G62" s="283" t="s">
        <v>2251</v>
      </c>
      <c r="H62" s="374" t="s">
        <v>2079</v>
      </c>
      <c r="R62" s="748" t="s">
        <v>2055</v>
      </c>
      <c r="T62" s="754"/>
      <c r="U62" s="754"/>
      <c r="V62" s="754"/>
      <c r="W62" s="756"/>
      <c r="X62" s="754"/>
      <c r="Y62" s="754"/>
      <c r="Z62" s="754"/>
      <c r="AA62" s="754"/>
      <c r="AB62" s="754"/>
      <c r="AC62" s="754"/>
      <c r="AD62" s="754"/>
      <c r="AE62" s="754">
        <f t="shared" si="2"/>
        <v>0</v>
      </c>
      <c r="AG62" s="283">
        <f t="shared" si="3"/>
        <v>0</v>
      </c>
      <c r="AH62" s="283">
        <f t="shared" si="4"/>
        <v>0</v>
      </c>
      <c r="AI62" s="283">
        <f t="shared" si="5"/>
        <v>0</v>
      </c>
      <c r="AJ62" s="283">
        <f t="shared" si="6"/>
        <v>0</v>
      </c>
      <c r="AK62" s="283">
        <f t="shared" si="7"/>
        <v>0</v>
      </c>
      <c r="AP62" s="374" t="s">
        <v>3745</v>
      </c>
      <c r="AR62" s="374"/>
    </row>
    <row r="63" spans="1:45" ht="24" customHeight="1">
      <c r="A63" s="792">
        <f t="shared" si="12"/>
        <v>50</v>
      </c>
      <c r="B63" s="374" t="s">
        <v>5259</v>
      </c>
      <c r="C63" s="283">
        <v>708</v>
      </c>
      <c r="D63" s="374" t="s">
        <v>868</v>
      </c>
      <c r="H63" s="748" t="s">
        <v>1586</v>
      </c>
      <c r="N63" s="374" t="s">
        <v>2251</v>
      </c>
      <c r="O63" s="374" t="s">
        <v>1357</v>
      </c>
      <c r="T63" s="754"/>
      <c r="U63" s="754"/>
      <c r="V63" s="754"/>
      <c r="W63" s="756"/>
      <c r="X63" s="754"/>
      <c r="Y63" s="754"/>
      <c r="Z63" s="754"/>
      <c r="AA63" s="754"/>
      <c r="AB63" s="754"/>
      <c r="AC63" s="754"/>
      <c r="AD63" s="766" t="s">
        <v>5936</v>
      </c>
      <c r="AE63" s="754">
        <f t="shared" si="2"/>
        <v>6380</v>
      </c>
      <c r="AF63" s="283">
        <v>6380</v>
      </c>
      <c r="AG63" s="283">
        <f t="shared" si="3"/>
        <v>7018</v>
      </c>
      <c r="AH63" s="283">
        <f t="shared" si="4"/>
        <v>7656</v>
      </c>
      <c r="AI63" s="283">
        <f t="shared" si="5"/>
        <v>9570</v>
      </c>
      <c r="AJ63" s="283">
        <f t="shared" si="6"/>
        <v>6699</v>
      </c>
      <c r="AK63" s="283">
        <f t="shared" si="7"/>
        <v>7975</v>
      </c>
      <c r="AP63" s="748" t="s">
        <v>1586</v>
      </c>
      <c r="AR63" s="374"/>
    </row>
    <row r="64" spans="1:45" ht="24" customHeight="1">
      <c r="A64" s="792">
        <f t="shared" si="12"/>
        <v>51</v>
      </c>
      <c r="B64" s="374" t="s">
        <v>2045</v>
      </c>
      <c r="C64" s="283">
        <v>42</v>
      </c>
      <c r="D64" s="374" t="s">
        <v>449</v>
      </c>
      <c r="F64" s="746">
        <v>0.20599999999999999</v>
      </c>
      <c r="G64" s="283" t="s">
        <v>861</v>
      </c>
      <c r="H64" s="374" t="s">
        <v>862</v>
      </c>
      <c r="I64" s="283">
        <f>(C68)</f>
        <v>6040</v>
      </c>
      <c r="J64" s="374" t="s">
        <v>861</v>
      </c>
      <c r="K64" s="283">
        <f>(F64*I64)</f>
        <v>1244.24</v>
      </c>
      <c r="O64" s="374" t="s">
        <v>1487</v>
      </c>
      <c r="T64" s="754"/>
      <c r="U64" s="754"/>
      <c r="V64" s="754"/>
      <c r="W64" s="756"/>
      <c r="X64" s="754"/>
      <c r="Y64" s="754"/>
      <c r="Z64" s="754"/>
      <c r="AA64" s="754"/>
      <c r="AB64" s="767"/>
      <c r="AC64" s="754"/>
      <c r="AD64" s="768" t="s">
        <v>5937</v>
      </c>
      <c r="AE64" s="754">
        <f t="shared" si="2"/>
        <v>11.45</v>
      </c>
      <c r="AF64" s="283">
        <v>11.45</v>
      </c>
      <c r="AG64" s="283">
        <f t="shared" si="3"/>
        <v>12.6</v>
      </c>
      <c r="AH64" s="283">
        <f t="shared" si="4"/>
        <v>13.74</v>
      </c>
      <c r="AI64" s="283">
        <f t="shared" si="5"/>
        <v>17.18</v>
      </c>
      <c r="AJ64" s="283">
        <f t="shared" si="6"/>
        <v>12.02</v>
      </c>
      <c r="AK64" s="283">
        <f t="shared" si="7"/>
        <v>14.31</v>
      </c>
      <c r="AN64" s="283">
        <v>1300</v>
      </c>
      <c r="AO64" s="283" t="s">
        <v>1425</v>
      </c>
      <c r="AP64" s="283" t="str">
        <f>AP62</f>
        <v>Bricks of size 23x11x7 cm</v>
      </c>
      <c r="AQ64" s="283">
        <f>AC45</f>
        <v>6595</v>
      </c>
      <c r="AR64" s="374" t="s">
        <v>1594</v>
      </c>
      <c r="AS64" s="283">
        <f>(AN64*AQ64)/1000</f>
        <v>8573.5</v>
      </c>
    </row>
    <row r="65" spans="1:45" ht="24" customHeight="1">
      <c r="A65" s="792">
        <f t="shared" si="12"/>
        <v>52</v>
      </c>
      <c r="B65" s="374" t="s">
        <v>5260</v>
      </c>
      <c r="C65" s="283">
        <v>280.60000000000002</v>
      </c>
      <c r="D65" s="374" t="s">
        <v>869</v>
      </c>
      <c r="F65" s="283">
        <v>1</v>
      </c>
      <c r="G65" s="283" t="s">
        <v>869</v>
      </c>
      <c r="H65" s="374" t="s">
        <v>870</v>
      </c>
      <c r="I65" s="283">
        <f>(C79)</f>
        <v>2074.06</v>
      </c>
      <c r="J65" s="374" t="s">
        <v>869</v>
      </c>
      <c r="K65" s="283">
        <f>(F65*I65)</f>
        <v>2074.06</v>
      </c>
      <c r="O65" s="748" t="s">
        <v>1586</v>
      </c>
      <c r="T65" s="754"/>
      <c r="U65" s="754"/>
      <c r="V65" s="754"/>
      <c r="W65" s="756"/>
      <c r="X65" s="754"/>
      <c r="Y65" s="754"/>
      <c r="Z65" s="754"/>
      <c r="AA65" s="754"/>
      <c r="AB65" s="754"/>
      <c r="AC65" s="754"/>
      <c r="AD65" s="768" t="s">
        <v>5938</v>
      </c>
      <c r="AE65" s="754">
        <f t="shared" si="2"/>
        <v>44.25</v>
      </c>
      <c r="AF65" s="283">
        <v>44.25</v>
      </c>
      <c r="AG65" s="283">
        <f t="shared" si="3"/>
        <v>48.68</v>
      </c>
      <c r="AH65" s="283">
        <f t="shared" si="4"/>
        <v>53.1</v>
      </c>
      <c r="AI65" s="283">
        <f t="shared" si="5"/>
        <v>66.38</v>
      </c>
      <c r="AJ65" s="283">
        <f t="shared" si="6"/>
        <v>46.46</v>
      </c>
      <c r="AK65" s="283">
        <f t="shared" si="7"/>
        <v>55.31</v>
      </c>
      <c r="AN65" s="746">
        <v>0.70799999999999996</v>
      </c>
      <c r="AO65" s="283" t="s">
        <v>869</v>
      </c>
      <c r="AP65" s="374" t="s">
        <v>1625</v>
      </c>
      <c r="AQ65" s="283">
        <f>K49</f>
        <v>3929.58</v>
      </c>
      <c r="AR65" s="374" t="s">
        <v>869</v>
      </c>
      <c r="AS65" s="283">
        <f>(AN65*AQ65)</f>
        <v>2782.14</v>
      </c>
    </row>
    <row r="66" spans="1:45" ht="24" customHeight="1">
      <c r="A66" s="792">
        <f t="shared" si="12"/>
        <v>53</v>
      </c>
      <c r="B66" s="374" t="s">
        <v>5819</v>
      </c>
      <c r="C66" s="283">
        <v>391.1</v>
      </c>
      <c r="D66" s="374" t="s">
        <v>1359</v>
      </c>
      <c r="F66" s="283">
        <v>1</v>
      </c>
      <c r="G66" s="283" t="s">
        <v>869</v>
      </c>
      <c r="H66" s="374" t="s">
        <v>874</v>
      </c>
      <c r="I66" s="283">
        <f>(C18)</f>
        <v>116</v>
      </c>
      <c r="J66" s="374" t="s">
        <v>869</v>
      </c>
      <c r="K66" s="283">
        <f>(F66*I66)</f>
        <v>116</v>
      </c>
      <c r="M66" s="283">
        <v>9</v>
      </c>
      <c r="N66" s="374" t="s">
        <v>869</v>
      </c>
      <c r="O66" s="374" t="s">
        <v>1487</v>
      </c>
      <c r="P66" s="283">
        <f>(C74)</f>
        <v>1582.2</v>
      </c>
      <c r="Q66" s="374" t="s">
        <v>869</v>
      </c>
      <c r="R66" s="283">
        <f>(M66*P66)</f>
        <v>14239.8</v>
      </c>
      <c r="U66" s="283" t="s">
        <v>5820</v>
      </c>
      <c r="W66" s="744"/>
      <c r="AE66" s="283">
        <f t="shared" si="2"/>
        <v>0</v>
      </c>
      <c r="AG66" s="283">
        <f t="shared" si="3"/>
        <v>0</v>
      </c>
      <c r="AH66" s="283">
        <f t="shared" si="4"/>
        <v>0</v>
      </c>
      <c r="AI66" s="283">
        <f t="shared" si="5"/>
        <v>0</v>
      </c>
      <c r="AJ66" s="283">
        <f t="shared" si="6"/>
        <v>0</v>
      </c>
      <c r="AK66" s="283">
        <f t="shared" si="7"/>
        <v>0</v>
      </c>
      <c r="AN66" s="283">
        <v>1</v>
      </c>
      <c r="AO66" s="283" t="s">
        <v>868</v>
      </c>
      <c r="AP66" s="374" t="s">
        <v>2009</v>
      </c>
      <c r="AQ66" s="283">
        <f>V314</f>
        <v>999</v>
      </c>
      <c r="AR66" s="374" t="s">
        <v>868</v>
      </c>
      <c r="AS66" s="283">
        <f>(AN66*AQ66)</f>
        <v>999</v>
      </c>
    </row>
    <row r="67" spans="1:45" ht="24" customHeight="1">
      <c r="A67" s="792">
        <f t="shared" si="12"/>
        <v>54</v>
      </c>
      <c r="B67" s="374" t="s">
        <v>1494</v>
      </c>
      <c r="C67" s="283">
        <f>AE18</f>
        <v>856</v>
      </c>
      <c r="D67" s="374" t="s">
        <v>868</v>
      </c>
      <c r="G67" s="283" t="s">
        <v>449</v>
      </c>
      <c r="H67" s="374" t="s">
        <v>450</v>
      </c>
      <c r="I67" s="374" t="s">
        <v>975</v>
      </c>
      <c r="J67" s="374" t="s">
        <v>449</v>
      </c>
      <c r="K67" s="283">
        <v>0</v>
      </c>
      <c r="M67" s="283">
        <v>4.5</v>
      </c>
      <c r="N67" s="374" t="s">
        <v>869</v>
      </c>
      <c r="O67" s="374" t="s">
        <v>119</v>
      </c>
      <c r="P67" s="283">
        <f>(K23)</f>
        <v>6538.86</v>
      </c>
      <c r="Q67" s="374" t="s">
        <v>869</v>
      </c>
      <c r="R67" s="283">
        <f>(M67*P67)</f>
        <v>29424.87</v>
      </c>
      <c r="U67" s="283" t="s">
        <v>5821</v>
      </c>
      <c r="V67" s="283" t="s">
        <v>2196</v>
      </c>
      <c r="W67" s="744">
        <v>195.7</v>
      </c>
      <c r="AE67" s="283">
        <f t="shared" si="2"/>
        <v>0</v>
      </c>
      <c r="AG67" s="283">
        <f t="shared" si="3"/>
        <v>0</v>
      </c>
      <c r="AH67" s="283">
        <f t="shared" si="4"/>
        <v>0</v>
      </c>
      <c r="AI67" s="283">
        <f t="shared" si="5"/>
        <v>0</v>
      </c>
      <c r="AJ67" s="283">
        <f t="shared" si="6"/>
        <v>0</v>
      </c>
      <c r="AK67" s="283">
        <f t="shared" si="7"/>
        <v>0</v>
      </c>
      <c r="AN67" s="283">
        <v>3</v>
      </c>
      <c r="AO67" s="283" t="s">
        <v>868</v>
      </c>
      <c r="AP67" s="374" t="s">
        <v>1712</v>
      </c>
      <c r="AQ67" s="283">
        <f>V315</f>
        <v>932</v>
      </c>
      <c r="AR67" s="374" t="s">
        <v>868</v>
      </c>
      <c r="AS67" s="283">
        <f>(AN67*AQ67)</f>
        <v>2796</v>
      </c>
    </row>
    <row r="68" spans="1:45" ht="34.5" customHeight="1">
      <c r="A68" s="792">
        <f t="shared" si="12"/>
        <v>55</v>
      </c>
      <c r="B68" s="374" t="s">
        <v>862</v>
      </c>
      <c r="C68" s="283">
        <f>AC31</f>
        <v>6040</v>
      </c>
      <c r="D68" s="374" t="s">
        <v>861</v>
      </c>
      <c r="K68" s="748" t="s">
        <v>1586</v>
      </c>
      <c r="M68" s="283">
        <v>1.8</v>
      </c>
      <c r="N68" s="374" t="s">
        <v>868</v>
      </c>
      <c r="O68" s="374" t="s">
        <v>1712</v>
      </c>
      <c r="P68" s="283">
        <f>(C11)</f>
        <v>932</v>
      </c>
      <c r="Q68" s="374" t="s">
        <v>868</v>
      </c>
      <c r="R68" s="283">
        <f>(M68*P68)</f>
        <v>1677.6</v>
      </c>
      <c r="U68" s="283" t="s">
        <v>5822</v>
      </c>
      <c r="V68" s="283" t="s">
        <v>2196</v>
      </c>
      <c r="W68" s="744">
        <v>370.25</v>
      </c>
      <c r="AD68" s="769" t="s">
        <v>6031</v>
      </c>
      <c r="AE68" s="283">
        <f t="shared" si="2"/>
        <v>36.950000000000003</v>
      </c>
      <c r="AF68" s="751">
        <v>36.950000000000003</v>
      </c>
      <c r="AG68" s="283">
        <f t="shared" si="3"/>
        <v>40.65</v>
      </c>
      <c r="AH68" s="283">
        <f t="shared" si="4"/>
        <v>44.34</v>
      </c>
      <c r="AI68" s="283" t="e">
        <f>#REF!*1.5</f>
        <v>#REF!</v>
      </c>
      <c r="AJ68" s="283" t="e">
        <f>#REF!*1.05</f>
        <v>#REF!</v>
      </c>
      <c r="AK68" s="283" t="e">
        <f>#REF!*1.25</f>
        <v>#REF!</v>
      </c>
      <c r="AN68" s="283">
        <v>2</v>
      </c>
      <c r="AO68" s="283" t="s">
        <v>868</v>
      </c>
      <c r="AP68" s="374" t="s">
        <v>1902</v>
      </c>
      <c r="AQ68" s="283">
        <f>V316</f>
        <v>651</v>
      </c>
      <c r="AR68" s="374" t="s">
        <v>868</v>
      </c>
      <c r="AS68" s="283">
        <f>(AN68*AQ68)</f>
        <v>1302</v>
      </c>
    </row>
    <row r="69" spans="1:45" ht="24" customHeight="1">
      <c r="A69" s="792">
        <f t="shared" si="12"/>
        <v>56</v>
      </c>
      <c r="B69" s="374" t="s">
        <v>1495</v>
      </c>
      <c r="C69" s="283">
        <f t="shared" ref="C69:C75" si="13">AC9</f>
        <v>542.6</v>
      </c>
      <c r="D69" s="374" t="s">
        <v>869</v>
      </c>
      <c r="H69" s="374" t="s">
        <v>1516</v>
      </c>
      <c r="K69" s="751">
        <f>SUM(K64:K67)</f>
        <v>3434.3</v>
      </c>
      <c r="M69" s="283">
        <v>17.7</v>
      </c>
      <c r="N69" s="374" t="s">
        <v>868</v>
      </c>
      <c r="O69" s="374" t="s">
        <v>1902</v>
      </c>
      <c r="P69" s="283">
        <f>(C12)</f>
        <v>651</v>
      </c>
      <c r="Q69" s="374" t="s">
        <v>868</v>
      </c>
      <c r="R69" s="283">
        <f>(M69*P69)</f>
        <v>11522.7</v>
      </c>
      <c r="U69" s="283" t="s">
        <v>5823</v>
      </c>
      <c r="W69" s="744"/>
      <c r="AE69" s="283">
        <f t="shared" si="2"/>
        <v>0</v>
      </c>
      <c r="AG69" s="283">
        <f t="shared" si="3"/>
        <v>0</v>
      </c>
      <c r="AH69" s="283">
        <f t="shared" si="4"/>
        <v>0</v>
      </c>
      <c r="AI69" s="283">
        <f t="shared" si="5"/>
        <v>0</v>
      </c>
      <c r="AJ69" s="283">
        <f t="shared" si="6"/>
        <v>0</v>
      </c>
      <c r="AK69" s="283">
        <f t="shared" si="7"/>
        <v>0</v>
      </c>
      <c r="AN69" s="283">
        <v>6</v>
      </c>
      <c r="AO69" s="283" t="s">
        <v>868</v>
      </c>
      <c r="AP69" s="374" t="s">
        <v>320</v>
      </c>
      <c r="AQ69" s="283">
        <f>V317</f>
        <v>534</v>
      </c>
      <c r="AR69" s="374" t="s">
        <v>868</v>
      </c>
      <c r="AS69" s="283">
        <f>(AN69*AQ69)</f>
        <v>3204</v>
      </c>
    </row>
    <row r="70" spans="1:45" ht="24" customHeight="1">
      <c r="A70" s="792">
        <f t="shared" si="12"/>
        <v>57</v>
      </c>
      <c r="B70" s="374" t="s">
        <v>872</v>
      </c>
      <c r="C70" s="283">
        <f t="shared" si="13"/>
        <v>741.6</v>
      </c>
      <c r="D70" s="374" t="s">
        <v>869</v>
      </c>
      <c r="K70" s="748" t="s">
        <v>1586</v>
      </c>
      <c r="M70" s="283">
        <v>14.1</v>
      </c>
      <c r="N70" s="374" t="s">
        <v>868</v>
      </c>
      <c r="O70" s="374" t="s">
        <v>320</v>
      </c>
      <c r="P70" s="283">
        <f>(C13)</f>
        <v>534</v>
      </c>
      <c r="Q70" s="374" t="s">
        <v>868</v>
      </c>
      <c r="R70" s="283">
        <f>(M70*P70)</f>
        <v>7529.4</v>
      </c>
      <c r="U70" s="283" t="s">
        <v>5824</v>
      </c>
      <c r="V70" s="283" t="s">
        <v>1398</v>
      </c>
      <c r="W70" s="744">
        <v>9180</v>
      </c>
      <c r="AE70" s="283">
        <f t="shared" si="2"/>
        <v>0</v>
      </c>
      <c r="AG70" s="283">
        <f t="shared" si="3"/>
        <v>0</v>
      </c>
      <c r="AH70" s="283">
        <f t="shared" si="4"/>
        <v>0</v>
      </c>
      <c r="AI70" s="283">
        <f t="shared" si="5"/>
        <v>0</v>
      </c>
      <c r="AJ70" s="283">
        <f t="shared" si="6"/>
        <v>0</v>
      </c>
      <c r="AK70" s="283">
        <f t="shared" si="7"/>
        <v>0</v>
      </c>
      <c r="AO70" s="283" t="s">
        <v>449</v>
      </c>
      <c r="AP70" s="374" t="s">
        <v>450</v>
      </c>
      <c r="AR70" s="374" t="s">
        <v>449</v>
      </c>
      <c r="AS70" s="283">
        <v>5</v>
      </c>
    </row>
    <row r="71" spans="1:45" ht="24" customHeight="1">
      <c r="A71" s="792">
        <f t="shared" si="12"/>
        <v>58</v>
      </c>
      <c r="B71" s="374" t="s">
        <v>1496</v>
      </c>
      <c r="C71" s="283">
        <f t="shared" si="13"/>
        <v>866.87</v>
      </c>
      <c r="D71" s="374" t="s">
        <v>869</v>
      </c>
      <c r="G71" s="283" t="s">
        <v>2251</v>
      </c>
      <c r="H71" s="374" t="s">
        <v>1632</v>
      </c>
      <c r="N71" s="374" t="s">
        <v>449</v>
      </c>
      <c r="O71" s="374" t="s">
        <v>450</v>
      </c>
      <c r="Q71" s="374" t="s">
        <v>449</v>
      </c>
      <c r="R71" s="283">
        <v>0</v>
      </c>
      <c r="U71" s="283" t="s">
        <v>5825</v>
      </c>
      <c r="V71" s="283" t="s">
        <v>1398</v>
      </c>
      <c r="W71" s="744">
        <v>7140</v>
      </c>
      <c r="AE71" s="283">
        <f t="shared" si="2"/>
        <v>0</v>
      </c>
      <c r="AG71" s="283">
        <f t="shared" si="3"/>
        <v>0</v>
      </c>
      <c r="AH71" s="283">
        <f t="shared" si="4"/>
        <v>0</v>
      </c>
      <c r="AI71" s="283">
        <f t="shared" si="5"/>
        <v>0</v>
      </c>
      <c r="AJ71" s="283">
        <f t="shared" si="6"/>
        <v>0</v>
      </c>
      <c r="AK71" s="283">
        <f t="shared" si="7"/>
        <v>0</v>
      </c>
      <c r="AR71" s="374"/>
      <c r="AS71" s="748" t="s">
        <v>1586</v>
      </c>
    </row>
    <row r="72" spans="1:45" ht="24" customHeight="1">
      <c r="A72" s="792">
        <f t="shared" si="12"/>
        <v>59</v>
      </c>
      <c r="B72" s="374" t="s">
        <v>1497</v>
      </c>
      <c r="C72" s="283">
        <f t="shared" si="13"/>
        <v>1109.2</v>
      </c>
      <c r="D72" s="374" t="s">
        <v>869</v>
      </c>
      <c r="H72" s="748" t="s">
        <v>1586</v>
      </c>
      <c r="R72" s="748" t="s">
        <v>1586</v>
      </c>
      <c r="U72" s="283" t="s">
        <v>5826</v>
      </c>
      <c r="V72" s="283" t="s">
        <v>5827</v>
      </c>
      <c r="W72" s="744">
        <v>8106</v>
      </c>
      <c r="AE72" s="283">
        <f t="shared" si="2"/>
        <v>0</v>
      </c>
      <c r="AG72" s="283">
        <f t="shared" si="3"/>
        <v>0</v>
      </c>
      <c r="AH72" s="283">
        <f t="shared" si="4"/>
        <v>0</v>
      </c>
      <c r="AI72" s="283">
        <f t="shared" si="5"/>
        <v>0</v>
      </c>
      <c r="AJ72" s="283">
        <f t="shared" si="6"/>
        <v>0</v>
      </c>
      <c r="AK72" s="283">
        <f t="shared" si="7"/>
        <v>0</v>
      </c>
      <c r="AP72" s="374" t="s">
        <v>3746</v>
      </c>
      <c r="AR72" s="374"/>
      <c r="AS72" s="283">
        <f>SUM(AS64:AS70)</f>
        <v>19661.64</v>
      </c>
    </row>
    <row r="73" spans="1:45" ht="24" customHeight="1">
      <c r="A73" s="792">
        <f t="shared" si="12"/>
        <v>60</v>
      </c>
      <c r="B73" s="374" t="s">
        <v>1498</v>
      </c>
      <c r="C73" s="283">
        <f t="shared" si="13"/>
        <v>1475.2</v>
      </c>
      <c r="D73" s="374" t="s">
        <v>869</v>
      </c>
      <c r="F73" s="283">
        <v>0.18</v>
      </c>
      <c r="G73" s="283" t="s">
        <v>861</v>
      </c>
      <c r="H73" s="374" t="s">
        <v>862</v>
      </c>
      <c r="I73" s="283">
        <f>(C68)</f>
        <v>6040</v>
      </c>
      <c r="J73" s="374" t="s">
        <v>861</v>
      </c>
      <c r="K73" s="283">
        <f>(F73*I73)</f>
        <v>1087.2</v>
      </c>
      <c r="O73" s="374" t="s">
        <v>614</v>
      </c>
      <c r="R73" s="283">
        <f>SUM(R66:R71)</f>
        <v>64394.37</v>
      </c>
      <c r="U73" s="283" t="s">
        <v>5828</v>
      </c>
      <c r="V73" s="283" t="s">
        <v>5827</v>
      </c>
      <c r="W73" s="744">
        <v>7482</v>
      </c>
      <c r="AE73" s="283">
        <f t="shared" si="2"/>
        <v>0</v>
      </c>
      <c r="AG73" s="283">
        <f t="shared" si="3"/>
        <v>0</v>
      </c>
      <c r="AH73" s="283">
        <f t="shared" si="4"/>
        <v>0</v>
      </c>
      <c r="AI73" s="283">
        <f t="shared" si="5"/>
        <v>0</v>
      </c>
      <c r="AJ73" s="283">
        <f t="shared" si="6"/>
        <v>0</v>
      </c>
      <c r="AK73" s="283">
        <f t="shared" si="7"/>
        <v>0</v>
      </c>
      <c r="AR73" s="374"/>
      <c r="AS73" s="748" t="s">
        <v>1586</v>
      </c>
    </row>
    <row r="74" spans="1:45" ht="24" customHeight="1">
      <c r="A74" s="792">
        <f t="shared" si="12"/>
        <v>61</v>
      </c>
      <c r="B74" s="374" t="s">
        <v>655</v>
      </c>
      <c r="C74" s="283">
        <f t="shared" si="13"/>
        <v>1582.2</v>
      </c>
      <c r="D74" s="374" t="s">
        <v>869</v>
      </c>
      <c r="F74" s="283">
        <v>1</v>
      </c>
      <c r="G74" s="283" t="s">
        <v>869</v>
      </c>
      <c r="H74" s="374" t="s">
        <v>870</v>
      </c>
      <c r="I74" s="283">
        <f>(C79)</f>
        <v>2074.06</v>
      </c>
      <c r="J74" s="374" t="s">
        <v>869</v>
      </c>
      <c r="K74" s="283">
        <f>(F74*I74)</f>
        <v>2074.06</v>
      </c>
      <c r="R74" s="748" t="s">
        <v>1586</v>
      </c>
      <c r="W74" s="744"/>
      <c r="AE74" s="283">
        <f t="shared" si="2"/>
        <v>0</v>
      </c>
      <c r="AG74" s="283">
        <f t="shared" si="3"/>
        <v>0</v>
      </c>
      <c r="AH74" s="283">
        <f t="shared" si="4"/>
        <v>0</v>
      </c>
      <c r="AI74" s="283">
        <f t="shared" si="5"/>
        <v>0</v>
      </c>
      <c r="AJ74" s="283">
        <f t="shared" si="6"/>
        <v>0</v>
      </c>
      <c r="AK74" s="283">
        <f t="shared" si="7"/>
        <v>0</v>
      </c>
      <c r="AP74" s="757" t="s">
        <v>773</v>
      </c>
      <c r="AR74" s="374"/>
      <c r="AS74" s="751">
        <f>(AS72/2.83168)</f>
        <v>6943.45</v>
      </c>
    </row>
    <row r="75" spans="1:45" ht="24" customHeight="1">
      <c r="A75" s="792">
        <f t="shared" si="12"/>
        <v>62</v>
      </c>
      <c r="B75" s="374" t="s">
        <v>954</v>
      </c>
      <c r="C75" s="283">
        <f t="shared" si="13"/>
        <v>1163</v>
      </c>
      <c r="D75" s="374" t="s">
        <v>869</v>
      </c>
      <c r="F75" s="283">
        <v>1</v>
      </c>
      <c r="G75" s="283" t="s">
        <v>869</v>
      </c>
      <c r="H75" s="374" t="s">
        <v>874</v>
      </c>
      <c r="I75" s="283">
        <f>(C18)</f>
        <v>116</v>
      </c>
      <c r="J75" s="374" t="s">
        <v>869</v>
      </c>
      <c r="K75" s="283">
        <f>(F75*I75)</f>
        <v>116</v>
      </c>
      <c r="O75" s="374" t="s">
        <v>773</v>
      </c>
      <c r="R75" s="283">
        <f>(R73/10)</f>
        <v>6439.44</v>
      </c>
      <c r="U75" s="770" t="s">
        <v>5829</v>
      </c>
      <c r="V75" s="283" t="s">
        <v>5830</v>
      </c>
      <c r="W75" s="744">
        <v>2419</v>
      </c>
      <c r="AE75" s="283">
        <f t="shared" ref="AE75:AE107" si="14">AF75</f>
        <v>0</v>
      </c>
      <c r="AG75" s="283">
        <f t="shared" ref="AG75:AG78" si="15">AF75*1.1</f>
        <v>0</v>
      </c>
      <c r="AH75" s="283">
        <f t="shared" ref="AH75" si="16">AF75*1.2</f>
        <v>0</v>
      </c>
      <c r="AI75" s="283">
        <f t="shared" ref="AI75:AI99" si="17">AF75*1.5</f>
        <v>0</v>
      </c>
      <c r="AJ75" s="283">
        <f t="shared" ref="AJ75:AJ99" si="18">AF75*1.05</f>
        <v>0</v>
      </c>
      <c r="AK75" s="283">
        <f t="shared" ref="AK75:AK99" si="19">AF75*1.25</f>
        <v>0</v>
      </c>
      <c r="AR75" s="374"/>
      <c r="AS75" s="748" t="s">
        <v>2055</v>
      </c>
    </row>
    <row r="76" spans="1:45" ht="24" customHeight="1">
      <c r="A76" s="792">
        <f t="shared" si="12"/>
        <v>63</v>
      </c>
      <c r="B76" s="374" t="s">
        <v>955</v>
      </c>
      <c r="C76" s="283">
        <v>175</v>
      </c>
      <c r="D76" s="374" t="s">
        <v>2251</v>
      </c>
      <c r="G76" s="283" t="s">
        <v>449</v>
      </c>
      <c r="H76" s="374" t="s">
        <v>450</v>
      </c>
      <c r="I76" s="374" t="s">
        <v>975</v>
      </c>
      <c r="J76" s="374" t="s">
        <v>449</v>
      </c>
      <c r="K76" s="283">
        <v>0</v>
      </c>
      <c r="R76" s="748" t="s">
        <v>2055</v>
      </c>
      <c r="W76" s="744"/>
      <c r="AE76" s="283">
        <f t="shared" si="14"/>
        <v>0</v>
      </c>
      <c r="AG76" s="283">
        <f t="shared" si="15"/>
        <v>0</v>
      </c>
      <c r="AH76" s="283">
        <f t="shared" ref="AH76:AH99" si="20">AF76*1.2</f>
        <v>0</v>
      </c>
      <c r="AI76" s="283">
        <f t="shared" si="17"/>
        <v>0</v>
      </c>
      <c r="AJ76" s="283">
        <f t="shared" si="18"/>
        <v>0</v>
      </c>
      <c r="AK76" s="283">
        <f t="shared" si="19"/>
        <v>0</v>
      </c>
      <c r="AP76" s="374" t="s">
        <v>386</v>
      </c>
      <c r="AR76" s="374"/>
      <c r="AS76" s="283">
        <f>AS74+C19</f>
        <v>7022.35</v>
      </c>
    </row>
    <row r="77" spans="1:45" ht="24" customHeight="1">
      <c r="A77" s="792">
        <f t="shared" si="12"/>
        <v>64</v>
      </c>
      <c r="B77" s="374" t="s">
        <v>956</v>
      </c>
      <c r="C77" s="283">
        <v>460</v>
      </c>
      <c r="D77" s="283">
        <v>290</v>
      </c>
      <c r="E77" s="283" t="s">
        <v>4224</v>
      </c>
      <c r="K77" s="748" t="s">
        <v>1586</v>
      </c>
      <c r="N77" s="374" t="s">
        <v>2251</v>
      </c>
      <c r="O77" s="374" t="s">
        <v>957</v>
      </c>
      <c r="W77" s="744"/>
      <c r="AE77" s="283">
        <f t="shared" si="14"/>
        <v>0</v>
      </c>
      <c r="AG77" s="283">
        <f t="shared" si="15"/>
        <v>0</v>
      </c>
      <c r="AH77" s="283">
        <f t="shared" si="20"/>
        <v>0</v>
      </c>
      <c r="AI77" s="283">
        <f t="shared" si="17"/>
        <v>0</v>
      </c>
      <c r="AJ77" s="283">
        <f t="shared" si="18"/>
        <v>0</v>
      </c>
      <c r="AK77" s="283">
        <f t="shared" si="19"/>
        <v>0</v>
      </c>
      <c r="AP77" s="374" t="s">
        <v>388</v>
      </c>
      <c r="AR77" s="374"/>
      <c r="AS77" s="283">
        <f>AS76+C20</f>
        <v>7181.55</v>
      </c>
    </row>
    <row r="78" spans="1:45" ht="24" customHeight="1">
      <c r="A78" s="792">
        <f t="shared" si="12"/>
        <v>65</v>
      </c>
      <c r="B78" s="374" t="s">
        <v>1550</v>
      </c>
      <c r="C78" s="283">
        <f>AC34</f>
        <v>4430.84</v>
      </c>
      <c r="D78" s="374" t="s">
        <v>869</v>
      </c>
      <c r="H78" s="374" t="s">
        <v>1516</v>
      </c>
      <c r="K78" s="751">
        <f>SUM(K73:K76)</f>
        <v>3277.26</v>
      </c>
      <c r="O78" s="374" t="s">
        <v>428</v>
      </c>
      <c r="W78" s="744"/>
      <c r="AE78" s="283">
        <f t="shared" si="14"/>
        <v>0</v>
      </c>
      <c r="AG78" s="283">
        <f t="shared" si="15"/>
        <v>0</v>
      </c>
      <c r="AH78" s="283">
        <f t="shared" si="20"/>
        <v>0</v>
      </c>
      <c r="AI78" s="283">
        <f t="shared" si="17"/>
        <v>0</v>
      </c>
      <c r="AJ78" s="283">
        <f t="shared" si="18"/>
        <v>0</v>
      </c>
      <c r="AK78" s="283">
        <f t="shared" si="19"/>
        <v>0</v>
      </c>
      <c r="AP78" s="374" t="s">
        <v>2232</v>
      </c>
      <c r="AR78" s="374"/>
      <c r="AS78" s="283">
        <f>AS77+C20</f>
        <v>7340.75</v>
      </c>
    </row>
    <row r="79" spans="1:45" ht="24" customHeight="1">
      <c r="A79" s="792">
        <f t="shared" si="12"/>
        <v>66</v>
      </c>
      <c r="B79" s="374" t="s">
        <v>1423</v>
      </c>
      <c r="C79" s="283">
        <f t="shared" ref="C79:C92" si="21">AC16</f>
        <v>2074.06</v>
      </c>
      <c r="D79" s="374" t="s">
        <v>869</v>
      </c>
      <c r="K79" s="748" t="s">
        <v>1586</v>
      </c>
      <c r="O79" s="748" t="s">
        <v>1586</v>
      </c>
      <c r="W79" s="744"/>
      <c r="AE79" s="283">
        <f t="shared" si="14"/>
        <v>0</v>
      </c>
      <c r="AG79" s="374"/>
      <c r="AH79" s="283">
        <f t="shared" si="20"/>
        <v>0</v>
      </c>
      <c r="AI79" s="283">
        <f t="shared" si="17"/>
        <v>0</v>
      </c>
      <c r="AJ79" s="283">
        <f t="shared" si="18"/>
        <v>0</v>
      </c>
      <c r="AK79" s="283">
        <f t="shared" si="19"/>
        <v>0</v>
      </c>
      <c r="AP79" s="374" t="s">
        <v>380</v>
      </c>
      <c r="AR79" s="374"/>
      <c r="AS79" s="283">
        <f>AS78+C20</f>
        <v>7499.95</v>
      </c>
    </row>
    <row r="80" spans="1:45" ht="24" customHeight="1">
      <c r="A80" s="792">
        <f t="shared" si="12"/>
        <v>67</v>
      </c>
      <c r="B80" s="374" t="s">
        <v>1034</v>
      </c>
      <c r="C80" s="283">
        <f t="shared" si="21"/>
        <v>2074.06</v>
      </c>
      <c r="D80" s="374" t="s">
        <v>869</v>
      </c>
      <c r="F80" s="765">
        <v>1.1000000000000001</v>
      </c>
      <c r="G80" s="283" t="s">
        <v>975</v>
      </c>
      <c r="H80" s="374" t="s">
        <v>1424</v>
      </c>
      <c r="M80" s="283">
        <v>4600</v>
      </c>
      <c r="N80" s="374" t="s">
        <v>1425</v>
      </c>
      <c r="O80" s="374" t="s">
        <v>1112</v>
      </c>
      <c r="P80" s="283">
        <f>AC41</f>
        <v>6595</v>
      </c>
      <c r="Q80" s="374" t="s">
        <v>1594</v>
      </c>
      <c r="R80" s="283">
        <f>(M80*P80)/1000</f>
        <v>30337</v>
      </c>
      <c r="S80" s="771">
        <v>1.1000000000000001</v>
      </c>
      <c r="T80" s="283" t="s">
        <v>975</v>
      </c>
      <c r="U80" s="745" t="s">
        <v>2162</v>
      </c>
      <c r="W80" s="744"/>
      <c r="AE80" s="283">
        <f t="shared" si="14"/>
        <v>0</v>
      </c>
      <c r="AG80" s="374"/>
      <c r="AH80" s="283">
        <f t="shared" si="20"/>
        <v>0</v>
      </c>
      <c r="AI80" s="283">
        <f t="shared" si="17"/>
        <v>0</v>
      </c>
      <c r="AJ80" s="283">
        <f t="shared" si="18"/>
        <v>0</v>
      </c>
      <c r="AK80" s="283">
        <f t="shared" si="19"/>
        <v>0</v>
      </c>
      <c r="AP80" s="374" t="s">
        <v>488</v>
      </c>
      <c r="AR80" s="374"/>
      <c r="AS80" s="283">
        <f>AS79+C20</f>
        <v>7659.15</v>
      </c>
    </row>
    <row r="81" spans="1:45" ht="24" customHeight="1">
      <c r="A81" s="792">
        <f t="shared" si="12"/>
        <v>68</v>
      </c>
      <c r="B81" s="374" t="s">
        <v>1480</v>
      </c>
      <c r="C81" s="283">
        <f t="shared" si="21"/>
        <v>5840.84</v>
      </c>
      <c r="D81" s="374" t="s">
        <v>1481</v>
      </c>
      <c r="F81" s="772" t="s">
        <v>975</v>
      </c>
      <c r="H81" s="374" t="s">
        <v>1482</v>
      </c>
      <c r="M81" s="283">
        <v>2.5</v>
      </c>
      <c r="N81" s="374" t="s">
        <v>869</v>
      </c>
      <c r="O81" s="374" t="s">
        <v>1625</v>
      </c>
      <c r="P81" s="283">
        <f>(K49)</f>
        <v>3929.58</v>
      </c>
      <c r="Q81" s="374" t="s">
        <v>869</v>
      </c>
      <c r="R81" s="283">
        <f>(M81*P81)</f>
        <v>9823.9500000000007</v>
      </c>
      <c r="S81" s="773" t="s">
        <v>975</v>
      </c>
      <c r="U81" s="374" t="s">
        <v>1482</v>
      </c>
      <c r="W81" s="744"/>
      <c r="AE81" s="283">
        <f t="shared" si="14"/>
        <v>0</v>
      </c>
      <c r="AG81" s="374"/>
      <c r="AH81" s="283">
        <f t="shared" si="20"/>
        <v>0</v>
      </c>
      <c r="AI81" s="283">
        <f t="shared" si="17"/>
        <v>0</v>
      </c>
      <c r="AJ81" s="283">
        <f t="shared" si="18"/>
        <v>0</v>
      </c>
      <c r="AK81" s="283">
        <f t="shared" si="19"/>
        <v>0</v>
      </c>
      <c r="AS81" s="374"/>
    </row>
    <row r="82" spans="1:45" ht="24" customHeight="1">
      <c r="A82" s="792">
        <f t="shared" si="12"/>
        <v>69</v>
      </c>
      <c r="B82" s="374" t="s">
        <v>65</v>
      </c>
      <c r="C82" s="283">
        <f t="shared" si="21"/>
        <v>812.26</v>
      </c>
      <c r="D82" s="374" t="s">
        <v>869</v>
      </c>
      <c r="F82" s="283">
        <v>10</v>
      </c>
      <c r="G82" s="283" t="s">
        <v>869</v>
      </c>
      <c r="H82" s="374" t="s">
        <v>1177</v>
      </c>
      <c r="I82" s="283">
        <f>(C62)</f>
        <v>112.05</v>
      </c>
      <c r="J82" s="374" t="s">
        <v>869</v>
      </c>
      <c r="K82" s="283">
        <f>(F82*I82)</f>
        <v>1120.5</v>
      </c>
      <c r="M82" s="283">
        <v>3.5</v>
      </c>
      <c r="N82" s="374" t="s">
        <v>868</v>
      </c>
      <c r="O82" s="374" t="s">
        <v>2009</v>
      </c>
      <c r="P82" s="283">
        <f>(C10)</f>
        <v>999</v>
      </c>
      <c r="Q82" s="374" t="s">
        <v>868</v>
      </c>
      <c r="R82" s="283">
        <f>(M82*P82)</f>
        <v>3496.5</v>
      </c>
      <c r="S82" s="746">
        <v>10</v>
      </c>
      <c r="T82" s="283" t="s">
        <v>869</v>
      </c>
      <c r="U82" s="374" t="s">
        <v>1177</v>
      </c>
      <c r="V82" s="283">
        <f>AE39</f>
        <v>74.849999999999994</v>
      </c>
      <c r="W82" s="744" t="s">
        <v>869</v>
      </c>
      <c r="X82" s="283">
        <f>(S82*V82)</f>
        <v>748.5</v>
      </c>
      <c r="AE82" s="283">
        <f t="shared" si="14"/>
        <v>0</v>
      </c>
      <c r="AG82" s="374"/>
      <c r="AH82" s="283">
        <f t="shared" si="20"/>
        <v>0</v>
      </c>
      <c r="AI82" s="283">
        <f t="shared" si="17"/>
        <v>0</v>
      </c>
      <c r="AJ82" s="283">
        <f t="shared" si="18"/>
        <v>0</v>
      </c>
      <c r="AK82" s="283">
        <f t="shared" si="19"/>
        <v>0</v>
      </c>
      <c r="AS82" s="374"/>
    </row>
    <row r="83" spans="1:45" ht="24" customHeight="1">
      <c r="A83" s="792">
        <f t="shared" si="12"/>
        <v>70</v>
      </c>
      <c r="B83" s="374" t="s">
        <v>2010</v>
      </c>
      <c r="C83" s="283">
        <f t="shared" si="21"/>
        <v>893.26</v>
      </c>
      <c r="D83" s="374" t="s">
        <v>869</v>
      </c>
      <c r="F83" s="283">
        <v>10</v>
      </c>
      <c r="G83" s="283" t="s">
        <v>869</v>
      </c>
      <c r="H83" s="374" t="s">
        <v>2011</v>
      </c>
      <c r="I83" s="283">
        <f>(C62)</f>
        <v>112.05</v>
      </c>
      <c r="J83" s="374" t="s">
        <v>869</v>
      </c>
      <c r="K83" s="283">
        <f>(F83*I83)</f>
        <v>1120.5</v>
      </c>
      <c r="L83" s="283">
        <f>I83+I82</f>
        <v>224.1</v>
      </c>
      <c r="M83" s="283">
        <v>10.6</v>
      </c>
      <c r="N83" s="374" t="s">
        <v>868</v>
      </c>
      <c r="O83" s="374" t="s">
        <v>1712</v>
      </c>
      <c r="P83" s="283">
        <f>(C11)</f>
        <v>932</v>
      </c>
      <c r="Q83" s="374" t="s">
        <v>868</v>
      </c>
      <c r="R83" s="283">
        <f>(M83*P83)</f>
        <v>9879.2000000000007</v>
      </c>
      <c r="S83" s="746">
        <v>10</v>
      </c>
      <c r="T83" s="283" t="s">
        <v>869</v>
      </c>
      <c r="U83" s="374" t="s">
        <v>2011</v>
      </c>
      <c r="V83" s="283">
        <f>V82</f>
        <v>74.849999999999994</v>
      </c>
      <c r="W83" s="744" t="s">
        <v>869</v>
      </c>
      <c r="X83" s="283">
        <f>(S83*V83)</f>
        <v>748.5</v>
      </c>
      <c r="AE83" s="283">
        <f t="shared" si="14"/>
        <v>0</v>
      </c>
      <c r="AG83" s="374"/>
      <c r="AH83" s="283">
        <f t="shared" si="20"/>
        <v>0</v>
      </c>
      <c r="AI83" s="283">
        <f t="shared" si="17"/>
        <v>0</v>
      </c>
      <c r="AJ83" s="283">
        <f t="shared" si="18"/>
        <v>0</v>
      </c>
      <c r="AK83" s="283">
        <f t="shared" si="19"/>
        <v>0</v>
      </c>
      <c r="AS83" s="374"/>
    </row>
    <row r="84" spans="1:45" ht="24" customHeight="1">
      <c r="A84" s="792">
        <f t="shared" si="12"/>
        <v>71</v>
      </c>
      <c r="B84" s="374" t="s">
        <v>2012</v>
      </c>
      <c r="C84" s="283">
        <f t="shared" si="21"/>
        <v>16106</v>
      </c>
      <c r="D84" s="374" t="s">
        <v>1481</v>
      </c>
      <c r="E84" s="283">
        <v>8710</v>
      </c>
      <c r="F84" s="283">
        <v>10</v>
      </c>
      <c r="G84" s="283" t="s">
        <v>869</v>
      </c>
      <c r="H84" s="374" t="s">
        <v>2013</v>
      </c>
      <c r="I84" s="283">
        <f>(C26)/3</f>
        <v>12.98</v>
      </c>
      <c r="J84" s="374" t="s">
        <v>869</v>
      </c>
      <c r="K84" s="283">
        <f>(F84*I84)</f>
        <v>129.80000000000001</v>
      </c>
      <c r="M84" s="283">
        <v>7.1</v>
      </c>
      <c r="N84" s="374" t="s">
        <v>868</v>
      </c>
      <c r="O84" s="374" t="s">
        <v>1902</v>
      </c>
      <c r="P84" s="283">
        <f>(C12)</f>
        <v>651</v>
      </c>
      <c r="Q84" s="374" t="s">
        <v>868</v>
      </c>
      <c r="R84" s="283">
        <f>(M84*P84)</f>
        <v>4622.1000000000004</v>
      </c>
      <c r="S84" s="746">
        <v>10</v>
      </c>
      <c r="T84" s="283" t="s">
        <v>869</v>
      </c>
      <c r="U84" s="374" t="s">
        <v>2013</v>
      </c>
      <c r="V84" s="283">
        <f>AE27/3</f>
        <v>11.4</v>
      </c>
      <c r="W84" s="744" t="s">
        <v>869</v>
      </c>
      <c r="X84" s="283">
        <f>(S84*V84)</f>
        <v>114</v>
      </c>
      <c r="AE84" s="283">
        <f t="shared" si="14"/>
        <v>0</v>
      </c>
      <c r="AG84" s="374"/>
      <c r="AH84" s="283">
        <f t="shared" si="20"/>
        <v>0</v>
      </c>
      <c r="AI84" s="283">
        <f t="shared" si="17"/>
        <v>0</v>
      </c>
      <c r="AJ84" s="283">
        <f t="shared" si="18"/>
        <v>0</v>
      </c>
      <c r="AK84" s="283">
        <f t="shared" si="19"/>
        <v>0</v>
      </c>
      <c r="AS84" s="374"/>
    </row>
    <row r="85" spans="1:45" ht="24" customHeight="1">
      <c r="A85" s="792">
        <f t="shared" si="12"/>
        <v>72</v>
      </c>
      <c r="B85" s="374" t="s">
        <v>2014</v>
      </c>
      <c r="C85" s="283">
        <f t="shared" si="21"/>
        <v>1348</v>
      </c>
      <c r="D85" s="374" t="s">
        <v>869</v>
      </c>
      <c r="G85" s="283" t="s">
        <v>449</v>
      </c>
      <c r="H85" s="374" t="s">
        <v>450</v>
      </c>
      <c r="J85" s="374" t="s">
        <v>449</v>
      </c>
      <c r="K85" s="283">
        <v>0</v>
      </c>
      <c r="M85" s="283">
        <v>21.2</v>
      </c>
      <c r="N85" s="374" t="s">
        <v>868</v>
      </c>
      <c r="O85" s="374" t="s">
        <v>320</v>
      </c>
      <c r="P85" s="283">
        <f>(C13)</f>
        <v>534</v>
      </c>
      <c r="Q85" s="374" t="s">
        <v>868</v>
      </c>
      <c r="R85" s="283">
        <f>(M85*P85)</f>
        <v>11320.8</v>
      </c>
      <c r="T85" s="283" t="s">
        <v>449</v>
      </c>
      <c r="U85" s="374" t="s">
        <v>450</v>
      </c>
      <c r="W85" s="744" t="s">
        <v>449</v>
      </c>
      <c r="X85" s="283">
        <v>0</v>
      </c>
      <c r="AE85" s="283">
        <f t="shared" si="14"/>
        <v>0</v>
      </c>
      <c r="AG85" s="374"/>
      <c r="AH85" s="283">
        <f t="shared" si="20"/>
        <v>0</v>
      </c>
      <c r="AI85" s="283">
        <f t="shared" si="17"/>
        <v>0</v>
      </c>
      <c r="AJ85" s="283">
        <f t="shared" si="18"/>
        <v>0</v>
      </c>
      <c r="AK85" s="283">
        <f t="shared" si="19"/>
        <v>0</v>
      </c>
      <c r="AN85" s="774">
        <v>9</v>
      </c>
      <c r="AO85" s="283" t="s">
        <v>2251</v>
      </c>
      <c r="AP85" s="374" t="s">
        <v>3747</v>
      </c>
      <c r="AR85" s="374"/>
    </row>
    <row r="86" spans="1:45" ht="24" customHeight="1">
      <c r="A86" s="792">
        <f t="shared" si="12"/>
        <v>73</v>
      </c>
      <c r="B86" s="374" t="s">
        <v>2004</v>
      </c>
      <c r="C86" s="283">
        <f t="shared" si="21"/>
        <v>1113.94</v>
      </c>
      <c r="D86" s="374" t="s">
        <v>869</v>
      </c>
      <c r="K86" s="748" t="s">
        <v>1586</v>
      </c>
      <c r="N86" s="374" t="s">
        <v>449</v>
      </c>
      <c r="O86" s="374" t="s">
        <v>450</v>
      </c>
      <c r="Q86" s="374" t="s">
        <v>449</v>
      </c>
      <c r="R86" s="283">
        <v>0</v>
      </c>
      <c r="W86" s="744"/>
      <c r="X86" s="748" t="s">
        <v>1586</v>
      </c>
      <c r="AE86" s="283">
        <f t="shared" si="14"/>
        <v>0</v>
      </c>
      <c r="AG86" s="374"/>
      <c r="AH86" s="283">
        <f t="shared" si="20"/>
        <v>0</v>
      </c>
      <c r="AI86" s="283">
        <f t="shared" si="17"/>
        <v>0</v>
      </c>
      <c r="AJ86" s="283">
        <f t="shared" si="18"/>
        <v>0</v>
      </c>
      <c r="AK86" s="283">
        <f t="shared" si="19"/>
        <v>0</v>
      </c>
      <c r="AP86" s="374" t="str">
        <f>AP62</f>
        <v>Bricks of size 23x11x7 cm</v>
      </c>
      <c r="AR86" s="374"/>
    </row>
    <row r="87" spans="1:45" ht="24" customHeight="1">
      <c r="A87" s="792">
        <f t="shared" si="12"/>
        <v>74</v>
      </c>
      <c r="B87" s="374" t="s">
        <v>3905</v>
      </c>
      <c r="C87" s="283">
        <f t="shared" si="21"/>
        <v>34300</v>
      </c>
      <c r="D87" s="374" t="s">
        <v>869</v>
      </c>
      <c r="H87" s="374" t="s">
        <v>614</v>
      </c>
      <c r="K87" s="283">
        <f>SUM(K82:K85)</f>
        <v>2370.8000000000002</v>
      </c>
      <c r="R87" s="748" t="s">
        <v>1586</v>
      </c>
      <c r="U87" s="374" t="s">
        <v>614</v>
      </c>
      <c r="W87" s="744"/>
      <c r="X87" s="283">
        <f>SUM(X82:X85)</f>
        <v>1611</v>
      </c>
      <c r="AE87" s="283">
        <f t="shared" si="14"/>
        <v>0</v>
      </c>
      <c r="AG87" s="374"/>
      <c r="AH87" s="283">
        <f t="shared" si="20"/>
        <v>0</v>
      </c>
      <c r="AI87" s="283">
        <f t="shared" si="17"/>
        <v>0</v>
      </c>
      <c r="AJ87" s="283">
        <f t="shared" si="18"/>
        <v>0</v>
      </c>
      <c r="AK87" s="283">
        <f t="shared" si="19"/>
        <v>0</v>
      </c>
      <c r="AP87" s="748" t="s">
        <v>1586</v>
      </c>
      <c r="AR87" s="374"/>
    </row>
    <row r="88" spans="1:45" ht="24" customHeight="1">
      <c r="A88" s="792">
        <f t="shared" si="12"/>
        <v>75</v>
      </c>
      <c r="B88" s="374" t="s">
        <v>2016</v>
      </c>
      <c r="C88" s="283">
        <f t="shared" si="21"/>
        <v>39400</v>
      </c>
      <c r="D88" s="374" t="s">
        <v>869</v>
      </c>
      <c r="K88" s="748" t="s">
        <v>1586</v>
      </c>
      <c r="O88" s="374" t="s">
        <v>614</v>
      </c>
      <c r="R88" s="283">
        <f>SUM(R80:R86)</f>
        <v>69479.55</v>
      </c>
      <c r="W88" s="744"/>
      <c r="X88" s="748" t="s">
        <v>1586</v>
      </c>
      <c r="AE88" s="283">
        <f t="shared" si="14"/>
        <v>0</v>
      </c>
      <c r="AG88" s="374"/>
      <c r="AH88" s="283">
        <f t="shared" si="20"/>
        <v>0</v>
      </c>
      <c r="AI88" s="283">
        <f t="shared" si="17"/>
        <v>0</v>
      </c>
      <c r="AJ88" s="283">
        <f t="shared" si="18"/>
        <v>0</v>
      </c>
      <c r="AK88" s="283">
        <f t="shared" si="19"/>
        <v>0</v>
      </c>
      <c r="AN88" s="283">
        <f>AN64</f>
        <v>1300</v>
      </c>
      <c r="AO88" s="283" t="s">
        <v>1425</v>
      </c>
      <c r="AP88" s="283" t="str">
        <f>AP62</f>
        <v>Bricks of size 23x11x7 cm</v>
      </c>
      <c r="AQ88" s="283">
        <f>AC45</f>
        <v>6595</v>
      </c>
      <c r="AR88" s="374" t="s">
        <v>1594</v>
      </c>
      <c r="AS88" s="283">
        <f>AQ88*AN88/1000</f>
        <v>8573.5</v>
      </c>
    </row>
    <row r="89" spans="1:45" ht="36" customHeight="1">
      <c r="A89" s="792">
        <f t="shared" si="12"/>
        <v>76</v>
      </c>
      <c r="B89" s="374" t="s">
        <v>2017</v>
      </c>
      <c r="C89" s="283">
        <f t="shared" si="21"/>
        <v>111600</v>
      </c>
      <c r="D89" s="374" t="s">
        <v>869</v>
      </c>
      <c r="H89" s="745" t="s">
        <v>2049</v>
      </c>
      <c r="I89" s="751" t="s">
        <v>1399</v>
      </c>
      <c r="J89" s="745"/>
      <c r="K89" s="751">
        <f>(K87/10)</f>
        <v>237.08</v>
      </c>
      <c r="R89" s="748" t="s">
        <v>1586</v>
      </c>
      <c r="U89" s="745" t="s">
        <v>2049</v>
      </c>
      <c r="V89" s="751" t="s">
        <v>1399</v>
      </c>
      <c r="W89" s="757"/>
      <c r="X89" s="751">
        <f>(X87/10)</f>
        <v>161.1</v>
      </c>
      <c r="AE89" s="283">
        <f t="shared" si="14"/>
        <v>0</v>
      </c>
      <c r="AG89" s="374"/>
      <c r="AH89" s="283">
        <f t="shared" si="20"/>
        <v>0</v>
      </c>
      <c r="AI89" s="283">
        <f t="shared" si="17"/>
        <v>0</v>
      </c>
      <c r="AJ89" s="283">
        <f t="shared" si="18"/>
        <v>0</v>
      </c>
      <c r="AK89" s="283">
        <f t="shared" si="19"/>
        <v>0</v>
      </c>
      <c r="AN89" s="746">
        <f>AN65</f>
        <v>0.70799999999999996</v>
      </c>
      <c r="AO89" s="283" t="s">
        <v>869</v>
      </c>
      <c r="AP89" s="374" t="s">
        <v>1631</v>
      </c>
      <c r="AQ89" s="283">
        <f>K59</f>
        <v>3639.66</v>
      </c>
      <c r="AR89" s="374" t="s">
        <v>869</v>
      </c>
      <c r="AS89" s="283">
        <f>AQ89*AN89</f>
        <v>2576.88</v>
      </c>
    </row>
    <row r="90" spans="1:45" ht="19.5" customHeight="1">
      <c r="A90" s="792">
        <f t="shared" si="12"/>
        <v>77</v>
      </c>
      <c r="B90" s="374" t="s">
        <v>295</v>
      </c>
      <c r="C90" s="283">
        <f t="shared" si="21"/>
        <v>99400</v>
      </c>
      <c r="D90" s="374" t="s">
        <v>869</v>
      </c>
      <c r="I90" s="751" t="s">
        <v>1362</v>
      </c>
      <c r="J90" s="745"/>
      <c r="K90" s="750">
        <f>ROUND(K89+C36,2)</f>
        <v>237.08</v>
      </c>
      <c r="L90" s="283">
        <f>K90+C36</f>
        <v>237.08</v>
      </c>
      <c r="M90" s="283">
        <f>L90+C36</f>
        <v>237.08</v>
      </c>
      <c r="O90" s="374" t="s">
        <v>773</v>
      </c>
      <c r="R90" s="283">
        <f>(R88/10)</f>
        <v>6947.96</v>
      </c>
      <c r="V90" s="751" t="s">
        <v>1362</v>
      </c>
      <c r="W90" s="757"/>
      <c r="X90" s="750">
        <f>ROUND(X89+C36,2)</f>
        <v>161.1</v>
      </c>
      <c r="AE90" s="283">
        <f t="shared" si="14"/>
        <v>0</v>
      </c>
      <c r="AG90" s="374"/>
      <c r="AH90" s="283">
        <f t="shared" si="20"/>
        <v>0</v>
      </c>
      <c r="AI90" s="283">
        <f t="shared" si="17"/>
        <v>0</v>
      </c>
      <c r="AJ90" s="283">
        <f t="shared" si="18"/>
        <v>0</v>
      </c>
      <c r="AK90" s="283">
        <f t="shared" si="19"/>
        <v>0</v>
      </c>
      <c r="AN90" s="283">
        <v>1</v>
      </c>
      <c r="AO90" s="283" t="s">
        <v>868</v>
      </c>
      <c r="AP90" s="374" t="s">
        <v>2009</v>
      </c>
      <c r="AQ90" s="283">
        <f>AQ66</f>
        <v>999</v>
      </c>
      <c r="AR90" s="374" t="s">
        <v>868</v>
      </c>
      <c r="AS90" s="283">
        <f>AQ90*AN90</f>
        <v>999</v>
      </c>
    </row>
    <row r="91" spans="1:45" ht="36" customHeight="1">
      <c r="A91" s="792">
        <f t="shared" si="12"/>
        <v>78</v>
      </c>
      <c r="B91" s="374" t="s">
        <v>296</v>
      </c>
      <c r="C91" s="283">
        <f>AC28</f>
        <v>95000</v>
      </c>
      <c r="D91" s="374" t="s">
        <v>869</v>
      </c>
      <c r="F91" s="774" t="s">
        <v>1526</v>
      </c>
      <c r="H91" s="775" t="s">
        <v>1941</v>
      </c>
      <c r="I91" s="751" t="s">
        <v>1399</v>
      </c>
      <c r="J91" s="745"/>
      <c r="K91" s="751">
        <f>K89-K84/10</f>
        <v>224.1</v>
      </c>
      <c r="R91" s="748" t="s">
        <v>2055</v>
      </c>
      <c r="S91" s="771" t="s">
        <v>1526</v>
      </c>
      <c r="U91" s="775" t="s">
        <v>157</v>
      </c>
      <c r="V91" s="751" t="s">
        <v>1399</v>
      </c>
      <c r="W91" s="757"/>
      <c r="X91" s="751">
        <f>X89-X84/10</f>
        <v>149.69999999999999</v>
      </c>
      <c r="AE91" s="283">
        <f t="shared" si="14"/>
        <v>0</v>
      </c>
      <c r="AG91" s="374"/>
      <c r="AH91" s="283">
        <f t="shared" si="20"/>
        <v>0</v>
      </c>
      <c r="AI91" s="283">
        <f t="shared" si="17"/>
        <v>0</v>
      </c>
      <c r="AJ91" s="283">
        <f t="shared" si="18"/>
        <v>0</v>
      </c>
      <c r="AK91" s="283">
        <f t="shared" si="19"/>
        <v>0</v>
      </c>
      <c r="AN91" s="283">
        <v>3</v>
      </c>
      <c r="AO91" s="283" t="s">
        <v>868</v>
      </c>
      <c r="AP91" s="374" t="s">
        <v>1712</v>
      </c>
      <c r="AQ91" s="283">
        <f>AQ67</f>
        <v>932</v>
      </c>
      <c r="AR91" s="374" t="s">
        <v>868</v>
      </c>
      <c r="AS91" s="283">
        <f>AQ91*AN91</f>
        <v>2796</v>
      </c>
    </row>
    <row r="92" spans="1:45" ht="24" customHeight="1">
      <c r="A92" s="792">
        <f t="shared" si="12"/>
        <v>79</v>
      </c>
      <c r="B92" s="374" t="s">
        <v>1551</v>
      </c>
      <c r="C92" s="283">
        <f t="shared" si="21"/>
        <v>4430.84</v>
      </c>
      <c r="D92" s="374" t="s">
        <v>1481</v>
      </c>
      <c r="I92" s="751" t="s">
        <v>1362</v>
      </c>
      <c r="J92" s="745"/>
      <c r="K92" s="750">
        <f>ROUND(K91+C36,2)</f>
        <v>224.1</v>
      </c>
      <c r="V92" s="751" t="s">
        <v>1362</v>
      </c>
      <c r="W92" s="757"/>
      <c r="X92" s="750">
        <f>ROUND(X91+C36,2)</f>
        <v>149.69999999999999</v>
      </c>
      <c r="AE92" s="283">
        <f t="shared" si="14"/>
        <v>0</v>
      </c>
      <c r="AG92" s="374"/>
      <c r="AH92" s="283">
        <f t="shared" si="20"/>
        <v>0</v>
      </c>
      <c r="AI92" s="283">
        <f t="shared" si="17"/>
        <v>0</v>
      </c>
      <c r="AJ92" s="283">
        <f t="shared" si="18"/>
        <v>0</v>
      </c>
      <c r="AK92" s="283">
        <f t="shared" si="19"/>
        <v>0</v>
      </c>
      <c r="AN92" s="283">
        <v>2</v>
      </c>
      <c r="AO92" s="283" t="s">
        <v>868</v>
      </c>
      <c r="AP92" s="374" t="s">
        <v>1902</v>
      </c>
      <c r="AQ92" s="283">
        <f>AQ68</f>
        <v>651</v>
      </c>
      <c r="AR92" s="374" t="s">
        <v>868</v>
      </c>
      <c r="AS92" s="283">
        <f>AQ92*AN92</f>
        <v>1302</v>
      </c>
    </row>
    <row r="93" spans="1:45" ht="24" customHeight="1">
      <c r="F93" s="774" t="s">
        <v>2095</v>
      </c>
      <c r="G93" s="283" t="s">
        <v>975</v>
      </c>
      <c r="H93" s="374" t="s">
        <v>6071</v>
      </c>
      <c r="S93" s="771"/>
      <c r="U93" s="374"/>
      <c r="W93" s="744"/>
      <c r="AE93" s="283">
        <f t="shared" si="14"/>
        <v>0</v>
      </c>
      <c r="AH93" s="283">
        <f t="shared" si="20"/>
        <v>0</v>
      </c>
      <c r="AI93" s="283">
        <f t="shared" si="17"/>
        <v>0</v>
      </c>
      <c r="AJ93" s="283">
        <f t="shared" si="18"/>
        <v>0</v>
      </c>
      <c r="AK93" s="283">
        <f t="shared" si="19"/>
        <v>0</v>
      </c>
      <c r="AN93" s="283">
        <v>6</v>
      </c>
      <c r="AO93" s="283" t="s">
        <v>868</v>
      </c>
      <c r="AP93" s="374" t="s">
        <v>320</v>
      </c>
      <c r="AQ93" s="283">
        <f>AQ69</f>
        <v>534</v>
      </c>
      <c r="AR93" s="374" t="s">
        <v>868</v>
      </c>
      <c r="AS93" s="283">
        <f>AQ93*AN93</f>
        <v>3204</v>
      </c>
    </row>
    <row r="94" spans="1:45" ht="24" customHeight="1">
      <c r="F94" s="772" t="s">
        <v>975</v>
      </c>
      <c r="H94" s="748" t="s">
        <v>1586</v>
      </c>
      <c r="M94" s="283" t="s">
        <v>3228</v>
      </c>
      <c r="S94" s="773"/>
      <c r="U94" s="748"/>
      <c r="W94" s="744"/>
      <c r="AE94" s="283">
        <f t="shared" si="14"/>
        <v>0</v>
      </c>
      <c r="AH94" s="283">
        <f t="shared" si="20"/>
        <v>0</v>
      </c>
      <c r="AI94" s="283">
        <f t="shared" si="17"/>
        <v>0</v>
      </c>
      <c r="AJ94" s="283">
        <f t="shared" si="18"/>
        <v>0</v>
      </c>
      <c r="AK94" s="283">
        <f t="shared" si="19"/>
        <v>0</v>
      </c>
      <c r="AO94" s="283" t="s">
        <v>449</v>
      </c>
      <c r="AP94" s="374" t="s">
        <v>450</v>
      </c>
      <c r="AR94" s="374" t="s">
        <v>449</v>
      </c>
      <c r="AS94" s="283">
        <v>0</v>
      </c>
    </row>
    <row r="95" spans="1:45" ht="24" customHeight="1">
      <c r="F95" s="283">
        <v>10</v>
      </c>
      <c r="G95" s="283" t="s">
        <v>869</v>
      </c>
      <c r="H95" s="374" t="s">
        <v>381</v>
      </c>
      <c r="I95" s="283">
        <f>D62</f>
        <v>166.9</v>
      </c>
      <c r="J95" s="374" t="s">
        <v>869</v>
      </c>
      <c r="K95" s="283">
        <f>(F95*I95)</f>
        <v>1669</v>
      </c>
      <c r="M95" s="283">
        <f>AE39</f>
        <v>74.849999999999994</v>
      </c>
      <c r="U95" s="374"/>
      <c r="W95" s="744"/>
      <c r="AE95" s="283">
        <f t="shared" si="14"/>
        <v>0</v>
      </c>
      <c r="AH95" s="283">
        <f t="shared" si="20"/>
        <v>0</v>
      </c>
      <c r="AI95" s="283">
        <f t="shared" si="17"/>
        <v>0</v>
      </c>
      <c r="AJ95" s="283">
        <f t="shared" si="18"/>
        <v>0</v>
      </c>
      <c r="AK95" s="283">
        <f t="shared" si="19"/>
        <v>0</v>
      </c>
      <c r="AR95" s="374"/>
      <c r="AS95" s="748" t="s">
        <v>1586</v>
      </c>
    </row>
    <row r="96" spans="1:45" ht="24" customHeight="1">
      <c r="F96" s="283">
        <v>10</v>
      </c>
      <c r="G96" s="283" t="s">
        <v>869</v>
      </c>
      <c r="H96" s="374" t="s">
        <v>2011</v>
      </c>
      <c r="I96" s="283">
        <f>D62</f>
        <v>166.9</v>
      </c>
      <c r="J96" s="374" t="s">
        <v>869</v>
      </c>
      <c r="K96" s="283">
        <f>(F96*I96)</f>
        <v>1669</v>
      </c>
      <c r="M96" s="283">
        <f>M95</f>
        <v>74.849999999999994</v>
      </c>
      <c r="U96" s="374"/>
      <c r="W96" s="744"/>
      <c r="AE96" s="283">
        <f t="shared" si="14"/>
        <v>0</v>
      </c>
      <c r="AH96" s="283">
        <f t="shared" si="20"/>
        <v>0</v>
      </c>
      <c r="AI96" s="283">
        <f t="shared" si="17"/>
        <v>0</v>
      </c>
      <c r="AJ96" s="283">
        <f t="shared" si="18"/>
        <v>0</v>
      </c>
      <c r="AK96" s="283">
        <f t="shared" si="19"/>
        <v>0</v>
      </c>
      <c r="AP96" s="374" t="s">
        <v>614</v>
      </c>
      <c r="AR96" s="374"/>
      <c r="AS96" s="283">
        <f>SUM(AS88:AS94)</f>
        <v>19451.38</v>
      </c>
    </row>
    <row r="97" spans="6:48" ht="24" customHeight="1">
      <c r="F97" s="283">
        <v>10</v>
      </c>
      <c r="G97" s="283" t="s">
        <v>869</v>
      </c>
      <c r="H97" s="374" t="s">
        <v>2013</v>
      </c>
      <c r="I97" s="283">
        <f>I84</f>
        <v>12.98</v>
      </c>
      <c r="J97" s="374" t="s">
        <v>869</v>
      </c>
      <c r="K97" s="283">
        <f>(F97*I97)</f>
        <v>129.80000000000001</v>
      </c>
      <c r="M97" s="283">
        <f>I97</f>
        <v>12.98</v>
      </c>
      <c r="U97" s="374"/>
      <c r="W97" s="744"/>
      <c r="AE97" s="283">
        <f t="shared" si="14"/>
        <v>0</v>
      </c>
      <c r="AH97" s="283">
        <f t="shared" si="20"/>
        <v>0</v>
      </c>
      <c r="AI97" s="283">
        <f t="shared" si="17"/>
        <v>0</v>
      </c>
      <c r="AJ97" s="283">
        <f t="shared" si="18"/>
        <v>0</v>
      </c>
      <c r="AK97" s="283">
        <f t="shared" si="19"/>
        <v>0</v>
      </c>
      <c r="AR97" s="374"/>
      <c r="AS97" s="748" t="s">
        <v>1586</v>
      </c>
    </row>
    <row r="98" spans="6:48" ht="24" customHeight="1">
      <c r="G98" s="283" t="s">
        <v>449</v>
      </c>
      <c r="H98" s="374" t="s">
        <v>450</v>
      </c>
      <c r="J98" s="374" t="s">
        <v>449</v>
      </c>
      <c r="K98" s="283">
        <v>0</v>
      </c>
      <c r="M98" s="283">
        <f>SUM(M95:M97)</f>
        <v>162.68</v>
      </c>
      <c r="U98" s="374"/>
      <c r="W98" s="744"/>
      <c r="AE98" s="283">
        <f t="shared" si="14"/>
        <v>0</v>
      </c>
      <c r="AH98" s="283">
        <f t="shared" si="20"/>
        <v>0</v>
      </c>
      <c r="AI98" s="283">
        <f t="shared" si="17"/>
        <v>0</v>
      </c>
      <c r="AJ98" s="283">
        <f t="shared" si="18"/>
        <v>0</v>
      </c>
      <c r="AK98" s="283">
        <f t="shared" si="19"/>
        <v>0</v>
      </c>
      <c r="AP98" s="744" t="s">
        <v>773</v>
      </c>
      <c r="AR98" s="374"/>
      <c r="AS98" s="283">
        <f>(AS96/2.83168)</f>
        <v>6869.2</v>
      </c>
    </row>
    <row r="99" spans="6:48" ht="24" customHeight="1">
      <c r="K99" s="748" t="s">
        <v>1586</v>
      </c>
      <c r="W99" s="744"/>
      <c r="X99" s="748"/>
      <c r="AE99" s="283">
        <f t="shared" si="14"/>
        <v>0</v>
      </c>
      <c r="AH99" s="283">
        <f t="shared" si="20"/>
        <v>0</v>
      </c>
      <c r="AI99" s="283">
        <f t="shared" si="17"/>
        <v>0</v>
      </c>
      <c r="AJ99" s="283">
        <f t="shared" si="18"/>
        <v>0</v>
      </c>
      <c r="AK99" s="283">
        <f t="shared" si="19"/>
        <v>0</v>
      </c>
      <c r="AR99" s="374"/>
      <c r="AS99" s="748" t="s">
        <v>2055</v>
      </c>
    </row>
    <row r="100" spans="6:48" ht="24" customHeight="1">
      <c r="H100" s="374" t="s">
        <v>614</v>
      </c>
      <c r="K100" s="283">
        <f>SUM(K95:K98)</f>
        <v>3467.8</v>
      </c>
      <c r="U100" s="374"/>
      <c r="W100" s="744"/>
      <c r="AE100" s="283">
        <f t="shared" si="14"/>
        <v>0</v>
      </c>
      <c r="AH100" s="283">
        <f t="shared" ref="AH100:AH124" si="22">AF100*1.2</f>
        <v>0</v>
      </c>
      <c r="AP100" s="374" t="s">
        <v>386</v>
      </c>
      <c r="AR100" s="374"/>
      <c r="AS100" s="751">
        <f>AS98+C19</f>
        <v>6948.1</v>
      </c>
      <c r="AU100" s="283">
        <f>AS100*22.69/100</f>
        <v>1576.52</v>
      </c>
      <c r="AV100" s="283">
        <f>AS100-AU100</f>
        <v>5371.58</v>
      </c>
    </row>
    <row r="101" spans="6:48" ht="24" customHeight="1">
      <c r="K101" s="748" t="s">
        <v>1586</v>
      </c>
      <c r="W101" s="744"/>
      <c r="X101" s="748"/>
      <c r="AE101" s="283">
        <f t="shared" si="14"/>
        <v>0</v>
      </c>
      <c r="AH101" s="283">
        <f t="shared" si="22"/>
        <v>0</v>
      </c>
      <c r="AP101" s="374" t="s">
        <v>388</v>
      </c>
      <c r="AR101" s="374"/>
      <c r="AS101" s="751">
        <f>(AS100+C20)</f>
        <v>7107.3</v>
      </c>
      <c r="AU101" s="283">
        <f t="shared" ref="AU101:AU164" si="23">AS101*22.69/100</f>
        <v>1612.65</v>
      </c>
      <c r="AV101" s="283">
        <f t="shared" ref="AV101:AV164" si="24">AS101-AU101</f>
        <v>5494.65</v>
      </c>
    </row>
    <row r="102" spans="6:48" ht="24" customHeight="1">
      <c r="H102" s="745" t="s">
        <v>2049</v>
      </c>
      <c r="I102" s="751" t="s">
        <v>1399</v>
      </c>
      <c r="J102" s="745"/>
      <c r="K102" s="751">
        <f>(K100/10)</f>
        <v>346.78</v>
      </c>
      <c r="M102" s="283">
        <f>SUM(M95:M96)</f>
        <v>149.69999999999999</v>
      </c>
      <c r="U102" s="745"/>
      <c r="V102" s="751"/>
      <c r="W102" s="757"/>
      <c r="X102" s="751"/>
      <c r="AE102" s="283">
        <f t="shared" si="14"/>
        <v>0</v>
      </c>
      <c r="AH102" s="283">
        <f t="shared" si="22"/>
        <v>0</v>
      </c>
      <c r="AP102" s="374" t="s">
        <v>2232</v>
      </c>
      <c r="AR102" s="374"/>
      <c r="AS102" s="751">
        <f>(AS101+C20)</f>
        <v>7266.5</v>
      </c>
      <c r="AU102" s="283">
        <f t="shared" si="23"/>
        <v>1648.77</v>
      </c>
      <c r="AV102" s="283">
        <f t="shared" si="24"/>
        <v>5617.73</v>
      </c>
    </row>
    <row r="103" spans="6:48" ht="24" customHeight="1">
      <c r="I103" s="751" t="s">
        <v>1362</v>
      </c>
      <c r="J103" s="745"/>
      <c r="K103" s="750">
        <f>ROUND(K102+C36,2)</f>
        <v>346.78</v>
      </c>
      <c r="V103" s="751"/>
      <c r="W103" s="757"/>
      <c r="X103" s="750"/>
      <c r="AE103" s="283">
        <f t="shared" si="14"/>
        <v>0</v>
      </c>
      <c r="AH103" s="283">
        <f t="shared" si="22"/>
        <v>0</v>
      </c>
      <c r="AP103" s="374" t="s">
        <v>380</v>
      </c>
      <c r="AR103" s="374"/>
      <c r="AS103" s="751">
        <f>(AS102+C20)</f>
        <v>7425.7</v>
      </c>
      <c r="AU103" s="283">
        <f t="shared" si="23"/>
        <v>1684.89</v>
      </c>
      <c r="AV103" s="283">
        <f t="shared" si="24"/>
        <v>5740.81</v>
      </c>
    </row>
    <row r="104" spans="6:48" ht="24" customHeight="1">
      <c r="I104" s="751"/>
      <c r="J104" s="745"/>
      <c r="K104" s="776"/>
      <c r="V104" s="751"/>
      <c r="W104" s="757"/>
      <c r="X104" s="776"/>
      <c r="AE104" s="283">
        <f t="shared" si="14"/>
        <v>0</v>
      </c>
      <c r="AH104" s="283">
        <f t="shared" si="22"/>
        <v>0</v>
      </c>
      <c r="AN104" s="374" t="s">
        <v>975</v>
      </c>
      <c r="AP104" s="374" t="s">
        <v>488</v>
      </c>
      <c r="AR104" s="374"/>
      <c r="AS104" s="751">
        <f>(AS103+C20)</f>
        <v>7584.9</v>
      </c>
      <c r="AU104" s="283">
        <f t="shared" si="23"/>
        <v>1721.01</v>
      </c>
      <c r="AV104" s="283">
        <f t="shared" si="24"/>
        <v>5863.89</v>
      </c>
    </row>
    <row r="105" spans="6:48" ht="30.75" customHeight="1">
      <c r="F105" s="765">
        <v>1.7</v>
      </c>
      <c r="H105" s="775" t="s">
        <v>656</v>
      </c>
      <c r="I105" s="751" t="s">
        <v>1399</v>
      </c>
      <c r="J105" s="745"/>
      <c r="K105" s="750">
        <f>ROUND(K102-K97/10,2)</f>
        <v>333.8</v>
      </c>
      <c r="S105" s="771"/>
      <c r="U105" s="775"/>
      <c r="V105" s="751"/>
      <c r="W105" s="757"/>
      <c r="X105" s="750"/>
      <c r="AE105" s="283">
        <f t="shared" si="14"/>
        <v>0</v>
      </c>
      <c r="AH105" s="283">
        <f t="shared" si="22"/>
        <v>0</v>
      </c>
      <c r="AN105" s="774">
        <v>27</v>
      </c>
      <c r="AO105" s="283" t="s">
        <v>2251</v>
      </c>
      <c r="AP105" s="374" t="s">
        <v>3748</v>
      </c>
      <c r="AR105" s="374"/>
      <c r="AS105" s="751">
        <f>(AS104+C21)</f>
        <v>7744.1</v>
      </c>
    </row>
    <row r="106" spans="6:48" ht="24" customHeight="1">
      <c r="I106" s="751" t="s">
        <v>1362</v>
      </c>
      <c r="J106" s="745"/>
      <c r="K106" s="750">
        <f>ROUND(K105+C36,2)</f>
        <v>333.8</v>
      </c>
      <c r="V106" s="751"/>
      <c r="W106" s="757"/>
      <c r="X106" s="750"/>
      <c r="AE106" s="283">
        <f t="shared" si="14"/>
        <v>0</v>
      </c>
      <c r="AH106" s="283">
        <f t="shared" si="22"/>
        <v>0</v>
      </c>
      <c r="AP106" s="374" t="str">
        <f>AP86</f>
        <v>Bricks of size 23x11x7 cm</v>
      </c>
      <c r="AR106" s="374"/>
    </row>
    <row r="107" spans="6:48" ht="24" customHeight="1">
      <c r="K107" s="748"/>
      <c r="W107" s="744"/>
      <c r="X107" s="748"/>
      <c r="AE107" s="283">
        <f t="shared" si="14"/>
        <v>0</v>
      </c>
      <c r="AH107" s="283">
        <f t="shared" si="22"/>
        <v>0</v>
      </c>
      <c r="AP107" s="748" t="s">
        <v>1586</v>
      </c>
      <c r="AR107" s="374"/>
    </row>
    <row r="108" spans="6:48" ht="24" customHeight="1">
      <c r="K108" s="748"/>
      <c r="W108" s="744"/>
      <c r="X108" s="748"/>
      <c r="AH108" s="283">
        <f t="shared" si="22"/>
        <v>0</v>
      </c>
      <c r="AN108" s="283">
        <v>1300</v>
      </c>
      <c r="AO108" s="283" t="s">
        <v>1425</v>
      </c>
      <c r="AP108" s="283" t="str">
        <f>AP62</f>
        <v>Bricks of size 23x11x7 cm</v>
      </c>
      <c r="AQ108" s="283">
        <f>AC45</f>
        <v>6595</v>
      </c>
      <c r="AR108" s="374" t="s">
        <v>1594</v>
      </c>
      <c r="AS108" s="283">
        <f>(AN108*AQ108)/1000</f>
        <v>8573.5</v>
      </c>
      <c r="AU108" s="283">
        <f t="shared" si="23"/>
        <v>1945.33</v>
      </c>
      <c r="AV108" s="283">
        <f t="shared" si="24"/>
        <v>6628.17</v>
      </c>
    </row>
    <row r="109" spans="6:48" ht="38.25" customHeight="1">
      <c r="F109" s="765">
        <v>1.4</v>
      </c>
      <c r="G109" s="283" t="s">
        <v>975</v>
      </c>
      <c r="H109" s="777" t="s">
        <v>6072</v>
      </c>
      <c r="S109" s="771">
        <v>1.4</v>
      </c>
      <c r="T109" s="283" t="s">
        <v>975</v>
      </c>
      <c r="U109" s="777" t="s">
        <v>6072</v>
      </c>
      <c r="W109" s="744"/>
      <c r="AH109" s="283">
        <f t="shared" si="22"/>
        <v>0</v>
      </c>
      <c r="AN109" s="746">
        <v>0.70799999999999996</v>
      </c>
      <c r="AO109" s="283" t="s">
        <v>869</v>
      </c>
      <c r="AP109" s="374" t="s">
        <v>1307</v>
      </c>
      <c r="AQ109" s="283">
        <f>K40</f>
        <v>4364.46</v>
      </c>
      <c r="AR109" s="374" t="s">
        <v>869</v>
      </c>
      <c r="AS109" s="283">
        <f>(AN109*AQ109)</f>
        <v>3090.04</v>
      </c>
      <c r="AU109" s="283">
        <f t="shared" si="23"/>
        <v>701.13</v>
      </c>
      <c r="AV109" s="283">
        <f t="shared" si="24"/>
        <v>2388.91</v>
      </c>
    </row>
    <row r="110" spans="6:48" ht="24" customHeight="1">
      <c r="W110" s="744"/>
      <c r="AH110" s="283">
        <f t="shared" si="22"/>
        <v>0</v>
      </c>
      <c r="AN110" s="283">
        <v>1</v>
      </c>
      <c r="AO110" s="283" t="s">
        <v>868</v>
      </c>
      <c r="AP110" s="374" t="s">
        <v>2009</v>
      </c>
      <c r="AQ110" s="283">
        <f>AQ90</f>
        <v>999</v>
      </c>
      <c r="AR110" s="374" t="s">
        <v>868</v>
      </c>
      <c r="AS110" s="283">
        <f>(AN110*AQ110)</f>
        <v>999</v>
      </c>
      <c r="AU110" s="283">
        <f t="shared" si="23"/>
        <v>226.67</v>
      </c>
      <c r="AV110" s="283">
        <f t="shared" si="24"/>
        <v>772.33</v>
      </c>
    </row>
    <row r="111" spans="6:48" ht="24" customHeight="1">
      <c r="F111" s="283">
        <v>10</v>
      </c>
      <c r="G111" s="283" t="s">
        <v>869</v>
      </c>
      <c r="H111" s="374" t="s">
        <v>1177</v>
      </c>
      <c r="I111" s="283">
        <f>C62</f>
        <v>112.05</v>
      </c>
      <c r="J111" s="374" t="s">
        <v>869</v>
      </c>
      <c r="K111" s="283">
        <f>(F111*I111)</f>
        <v>1120.5</v>
      </c>
      <c r="S111" s="746">
        <v>10</v>
      </c>
      <c r="T111" s="283" t="s">
        <v>869</v>
      </c>
      <c r="U111" s="374" t="s">
        <v>1177</v>
      </c>
      <c r="V111" s="283">
        <f>V82</f>
        <v>74.849999999999994</v>
      </c>
      <c r="W111" s="744" t="s">
        <v>869</v>
      </c>
      <c r="X111" s="283">
        <f>(S111*V111)</f>
        <v>748.5</v>
      </c>
      <c r="AH111" s="283">
        <f t="shared" si="22"/>
        <v>0</v>
      </c>
      <c r="AN111" s="283">
        <v>3</v>
      </c>
      <c r="AO111" s="283" t="s">
        <v>868</v>
      </c>
      <c r="AP111" s="374" t="s">
        <v>1712</v>
      </c>
      <c r="AQ111" s="283">
        <f>AQ91</f>
        <v>932</v>
      </c>
      <c r="AR111" s="374" t="s">
        <v>868</v>
      </c>
      <c r="AS111" s="283">
        <f>(AN111*AQ111)</f>
        <v>2796</v>
      </c>
      <c r="AU111" s="283">
        <f t="shared" si="23"/>
        <v>634.41</v>
      </c>
      <c r="AV111" s="283">
        <f t="shared" si="24"/>
        <v>2161.59</v>
      </c>
    </row>
    <row r="112" spans="6:48" ht="24" customHeight="1">
      <c r="F112" s="283">
        <v>10</v>
      </c>
      <c r="G112" s="283" t="s">
        <v>869</v>
      </c>
      <c r="H112" s="374" t="s">
        <v>2013</v>
      </c>
      <c r="I112" s="283">
        <f>I84</f>
        <v>12.98</v>
      </c>
      <c r="J112" s="374" t="s">
        <v>869</v>
      </c>
      <c r="K112" s="283">
        <f>(F112*I112)</f>
        <v>129.80000000000001</v>
      </c>
      <c r="S112" s="746">
        <v>10</v>
      </c>
      <c r="T112" s="283" t="s">
        <v>869</v>
      </c>
      <c r="U112" s="374" t="s">
        <v>2013</v>
      </c>
      <c r="V112" s="283">
        <f>V84</f>
        <v>11.4</v>
      </c>
      <c r="W112" s="744" t="s">
        <v>869</v>
      </c>
      <c r="X112" s="283">
        <f>(S112*V112)</f>
        <v>114</v>
      </c>
      <c r="AH112" s="283">
        <f t="shared" si="22"/>
        <v>0</v>
      </c>
      <c r="AN112" s="283">
        <v>2</v>
      </c>
      <c r="AO112" s="283" t="s">
        <v>868</v>
      </c>
      <c r="AP112" s="374" t="s">
        <v>1902</v>
      </c>
      <c r="AQ112" s="283">
        <f>AQ92</f>
        <v>651</v>
      </c>
      <c r="AR112" s="374" t="s">
        <v>868</v>
      </c>
      <c r="AS112" s="283">
        <f>(AN112*AQ112)</f>
        <v>1302</v>
      </c>
      <c r="AU112" s="283">
        <f t="shared" si="23"/>
        <v>295.42</v>
      </c>
      <c r="AV112" s="283">
        <f t="shared" si="24"/>
        <v>1006.58</v>
      </c>
    </row>
    <row r="113" spans="6:48" ht="24" customHeight="1">
      <c r="G113" s="283" t="s">
        <v>449</v>
      </c>
      <c r="H113" s="374" t="s">
        <v>450</v>
      </c>
      <c r="J113" s="374" t="s">
        <v>449</v>
      </c>
      <c r="K113" s="283">
        <v>0</v>
      </c>
      <c r="T113" s="283" t="s">
        <v>449</v>
      </c>
      <c r="U113" s="374" t="s">
        <v>450</v>
      </c>
      <c r="W113" s="744" t="s">
        <v>449</v>
      </c>
      <c r="X113" s="283">
        <v>0</v>
      </c>
      <c r="AH113" s="283">
        <f t="shared" si="22"/>
        <v>0</v>
      </c>
      <c r="AN113" s="283">
        <v>6</v>
      </c>
      <c r="AO113" s="283" t="s">
        <v>868</v>
      </c>
      <c r="AP113" s="374" t="s">
        <v>320</v>
      </c>
      <c r="AQ113" s="283">
        <f>AQ93</f>
        <v>534</v>
      </c>
      <c r="AR113" s="374" t="s">
        <v>868</v>
      </c>
      <c r="AS113" s="283">
        <f>(AN113*AQ113)</f>
        <v>3204</v>
      </c>
      <c r="AU113" s="283">
        <f t="shared" si="23"/>
        <v>726.99</v>
      </c>
      <c r="AV113" s="283">
        <f t="shared" si="24"/>
        <v>2477.0100000000002</v>
      </c>
    </row>
    <row r="114" spans="6:48" ht="24" customHeight="1">
      <c r="K114" s="748" t="s">
        <v>1586</v>
      </c>
      <c r="W114" s="744"/>
      <c r="X114" s="748" t="s">
        <v>1586</v>
      </c>
      <c r="AH114" s="283">
        <f t="shared" si="22"/>
        <v>0</v>
      </c>
      <c r="AO114" s="283" t="s">
        <v>449</v>
      </c>
      <c r="AP114" s="374" t="s">
        <v>450</v>
      </c>
      <c r="AR114" s="374" t="s">
        <v>449</v>
      </c>
      <c r="AS114" s="283">
        <v>5</v>
      </c>
      <c r="AU114" s="283">
        <f t="shared" si="23"/>
        <v>1.1299999999999999</v>
      </c>
      <c r="AV114" s="283">
        <f t="shared" si="24"/>
        <v>3.87</v>
      </c>
    </row>
    <row r="115" spans="6:48" ht="24" customHeight="1">
      <c r="H115" s="374" t="s">
        <v>614</v>
      </c>
      <c r="K115" s="283">
        <f>SUM(K111:K113)</f>
        <v>1250.3</v>
      </c>
      <c r="U115" s="374" t="s">
        <v>614</v>
      </c>
      <c r="W115" s="744"/>
      <c r="X115" s="283">
        <f>SUM(X111:X113)</f>
        <v>862.5</v>
      </c>
      <c r="AH115" s="283">
        <f t="shared" si="22"/>
        <v>0</v>
      </c>
      <c r="AR115" s="374"/>
      <c r="AS115" s="748" t="s">
        <v>1586</v>
      </c>
      <c r="AU115" s="283">
        <f t="shared" si="23"/>
        <v>0</v>
      </c>
      <c r="AV115" s="283">
        <f t="shared" si="24"/>
        <v>0</v>
      </c>
    </row>
    <row r="116" spans="6:48" ht="24" customHeight="1">
      <c r="K116" s="748" t="s">
        <v>1586</v>
      </c>
      <c r="W116" s="744"/>
      <c r="X116" s="748" t="s">
        <v>1586</v>
      </c>
      <c r="AH116" s="283">
        <f t="shared" si="22"/>
        <v>0</v>
      </c>
      <c r="AP116" s="374" t="s">
        <v>614</v>
      </c>
      <c r="AR116" s="374"/>
      <c r="AS116" s="283">
        <f>SUM(AS108:AS114)</f>
        <v>19969.54</v>
      </c>
      <c r="AU116" s="283">
        <f t="shared" si="23"/>
        <v>4531.09</v>
      </c>
      <c r="AV116" s="283">
        <f t="shared" si="24"/>
        <v>15438.45</v>
      </c>
    </row>
    <row r="117" spans="6:48" ht="24" customHeight="1">
      <c r="H117" s="374"/>
      <c r="K117" s="751">
        <f>(K115/10)</f>
        <v>125.03</v>
      </c>
      <c r="L117" s="751">
        <f>K117+C36</f>
        <v>125.03</v>
      </c>
      <c r="M117" s="283">
        <f>M95</f>
        <v>74.849999999999994</v>
      </c>
      <c r="U117" s="374"/>
      <c r="W117" s="744"/>
      <c r="X117" s="751">
        <f>(X115/10)</f>
        <v>86.25</v>
      </c>
      <c r="AH117" s="283">
        <f t="shared" si="22"/>
        <v>0</v>
      </c>
      <c r="AR117" s="374"/>
      <c r="AS117" s="748" t="s">
        <v>1586</v>
      </c>
      <c r="AU117" s="283">
        <f t="shared" si="23"/>
        <v>0</v>
      </c>
      <c r="AV117" s="283">
        <f t="shared" si="24"/>
        <v>0</v>
      </c>
    </row>
    <row r="118" spans="6:48" ht="24" customHeight="1">
      <c r="K118" s="748"/>
      <c r="W118" s="744"/>
      <c r="X118" s="748"/>
      <c r="AH118" s="283">
        <f t="shared" si="22"/>
        <v>0</v>
      </c>
      <c r="AP118" s="374" t="s">
        <v>773</v>
      </c>
      <c r="AR118" s="374"/>
      <c r="AS118" s="751">
        <f>(AS116/2.83168)</f>
        <v>7052.19</v>
      </c>
      <c r="AU118" s="283">
        <f t="shared" si="23"/>
        <v>1600.14</v>
      </c>
      <c r="AV118" s="283">
        <f t="shared" si="24"/>
        <v>5452.05</v>
      </c>
    </row>
    <row r="119" spans="6:48" ht="24" customHeight="1">
      <c r="F119" s="765">
        <v>1.5</v>
      </c>
      <c r="H119" s="374" t="s">
        <v>2035</v>
      </c>
      <c r="I119" s="751" t="s">
        <v>1399</v>
      </c>
      <c r="K119" s="751">
        <f>K117-K112/10</f>
        <v>112.05</v>
      </c>
      <c r="S119" s="771">
        <v>1.5</v>
      </c>
      <c r="U119" s="374" t="s">
        <v>2035</v>
      </c>
      <c r="V119" s="751" t="s">
        <v>1399</v>
      </c>
      <c r="W119" s="744"/>
      <c r="X119" s="751">
        <f>X117-X112/10</f>
        <v>74.849999999999994</v>
      </c>
      <c r="AH119" s="283">
        <f t="shared" si="22"/>
        <v>0</v>
      </c>
      <c r="AR119" s="374"/>
      <c r="AS119" s="748" t="s">
        <v>2055</v>
      </c>
      <c r="AU119" s="283">
        <f t="shared" si="23"/>
        <v>0</v>
      </c>
      <c r="AV119" s="283">
        <f t="shared" si="24"/>
        <v>0</v>
      </c>
    </row>
    <row r="120" spans="6:48" ht="24" customHeight="1">
      <c r="I120" s="751" t="s">
        <v>1362</v>
      </c>
      <c r="K120" s="750">
        <f>ROUND(K119+C36,2)</f>
        <v>112.05</v>
      </c>
      <c r="V120" s="751" t="s">
        <v>1362</v>
      </c>
      <c r="W120" s="744"/>
      <c r="X120" s="750">
        <f>ROUND(X119+P36,2)</f>
        <v>74.849999999999994</v>
      </c>
      <c r="AH120" s="283">
        <f t="shared" si="22"/>
        <v>0</v>
      </c>
      <c r="AP120" s="374" t="s">
        <v>386</v>
      </c>
      <c r="AR120" s="374"/>
      <c r="AS120" s="283">
        <f>(AS118+C19)</f>
        <v>7131.09</v>
      </c>
      <c r="AT120" s="283">
        <f>AS120-AS118</f>
        <v>78.900000000000006</v>
      </c>
      <c r="AU120" s="283">
        <f t="shared" si="23"/>
        <v>1618.04</v>
      </c>
      <c r="AV120" s="283">
        <f t="shared" si="24"/>
        <v>5513.05</v>
      </c>
    </row>
    <row r="121" spans="6:48" ht="24" customHeight="1">
      <c r="I121" s="283" t="s">
        <v>3787</v>
      </c>
      <c r="K121" s="750">
        <f>ROUND(K120+C36,2)</f>
        <v>112.05</v>
      </c>
      <c r="W121" s="744"/>
      <c r="X121" s="748"/>
      <c r="AH121" s="283">
        <f t="shared" si="22"/>
        <v>0</v>
      </c>
      <c r="AP121" s="374" t="s">
        <v>388</v>
      </c>
      <c r="AR121" s="374"/>
      <c r="AS121" s="283">
        <f>(AS120+C20)</f>
        <v>7290.29</v>
      </c>
      <c r="AT121" s="283">
        <f>AS121-AS120</f>
        <v>159.19999999999999</v>
      </c>
      <c r="AU121" s="283">
        <f t="shared" si="23"/>
        <v>1654.17</v>
      </c>
      <c r="AV121" s="283">
        <f t="shared" si="24"/>
        <v>5636.12</v>
      </c>
    </row>
    <row r="122" spans="6:48" ht="24" customHeight="1">
      <c r="I122" s="283" t="s">
        <v>3788</v>
      </c>
      <c r="K122" s="750">
        <f>ROUND(K121+C36,2)</f>
        <v>112.05</v>
      </c>
      <c r="W122" s="744"/>
      <c r="X122" s="748"/>
      <c r="AH122" s="283">
        <f t="shared" si="22"/>
        <v>0</v>
      </c>
      <c r="AP122" s="374" t="s">
        <v>2232</v>
      </c>
      <c r="AR122" s="374"/>
      <c r="AS122" s="283">
        <f>(AS121+C20)</f>
        <v>7449.49</v>
      </c>
      <c r="AU122" s="283">
        <f t="shared" si="23"/>
        <v>1690.29</v>
      </c>
      <c r="AV122" s="283">
        <f t="shared" si="24"/>
        <v>5759.2</v>
      </c>
    </row>
    <row r="123" spans="6:48" ht="28.5" customHeight="1">
      <c r="F123" s="778">
        <v>1.8</v>
      </c>
      <c r="H123" s="777" t="s">
        <v>6073</v>
      </c>
      <c r="K123" s="748"/>
      <c r="M123" s="744" t="s">
        <v>384</v>
      </c>
      <c r="N123" s="283" t="s">
        <v>2251</v>
      </c>
      <c r="O123" s="374" t="s">
        <v>385</v>
      </c>
      <c r="Q123" s="374"/>
      <c r="S123" s="779"/>
      <c r="U123" s="777"/>
      <c r="W123" s="744"/>
      <c r="X123" s="748"/>
      <c r="AH123" s="283">
        <f t="shared" si="22"/>
        <v>0</v>
      </c>
      <c r="AP123" s="374" t="s">
        <v>380</v>
      </c>
      <c r="AR123" s="374"/>
      <c r="AS123" s="283">
        <f>AS122+C20</f>
        <v>7608.69</v>
      </c>
      <c r="AU123" s="283">
        <f t="shared" si="23"/>
        <v>1726.41</v>
      </c>
      <c r="AV123" s="283">
        <f t="shared" si="24"/>
        <v>5882.28</v>
      </c>
    </row>
    <row r="124" spans="6:48" ht="24" customHeight="1">
      <c r="K124" s="748"/>
      <c r="O124" s="374" t="s">
        <v>6074</v>
      </c>
      <c r="Q124" s="374"/>
      <c r="W124" s="744"/>
      <c r="X124" s="748"/>
      <c r="AH124" s="283">
        <f t="shared" si="22"/>
        <v>0</v>
      </c>
      <c r="AP124" s="374" t="s">
        <v>488</v>
      </c>
      <c r="AR124" s="374"/>
      <c r="AS124" s="283">
        <f>AS123+C20</f>
        <v>7767.89</v>
      </c>
      <c r="AU124" s="283">
        <f t="shared" si="23"/>
        <v>1762.53</v>
      </c>
      <c r="AV124" s="283">
        <f t="shared" si="24"/>
        <v>6005.36</v>
      </c>
    </row>
    <row r="125" spans="6:48" ht="24" customHeight="1">
      <c r="F125" s="283">
        <v>10</v>
      </c>
      <c r="G125" s="283" t="s">
        <v>869</v>
      </c>
      <c r="H125" s="374" t="s">
        <v>381</v>
      </c>
      <c r="I125" s="283">
        <f>D62</f>
        <v>166.9</v>
      </c>
      <c r="J125" s="374" t="s">
        <v>869</v>
      </c>
      <c r="K125" s="283">
        <f>(F125*I125)</f>
        <v>1669</v>
      </c>
      <c r="O125" s="748" t="s">
        <v>1586</v>
      </c>
      <c r="Q125" s="374"/>
      <c r="U125" s="374"/>
      <c r="W125" s="744" t="s">
        <v>869</v>
      </c>
      <c r="AP125" s="374" t="s">
        <v>1831</v>
      </c>
      <c r="AR125" s="374"/>
      <c r="AS125" s="283">
        <f>(AS120+AS121+AS122+AS123)/4</f>
        <v>7369.89</v>
      </c>
      <c r="AU125" s="283">
        <f t="shared" si="23"/>
        <v>1672.23</v>
      </c>
      <c r="AV125" s="283">
        <f t="shared" si="24"/>
        <v>5697.66</v>
      </c>
    </row>
    <row r="126" spans="6:48" ht="24" customHeight="1">
      <c r="G126" s="283" t="s">
        <v>657</v>
      </c>
      <c r="J126" s="374" t="s">
        <v>657</v>
      </c>
      <c r="K126" s="283">
        <v>0</v>
      </c>
      <c r="M126" s="283">
        <v>1</v>
      </c>
      <c r="N126" s="283" t="s">
        <v>869</v>
      </c>
      <c r="O126" s="374" t="s">
        <v>1921</v>
      </c>
      <c r="P126" s="283">
        <f>AC39</f>
        <v>201.45</v>
      </c>
      <c r="Q126" s="374" t="s">
        <v>869</v>
      </c>
      <c r="R126" s="283">
        <f>(M126*P126)</f>
        <v>201.45</v>
      </c>
      <c r="W126" s="744" t="s">
        <v>657</v>
      </c>
    </row>
    <row r="127" spans="6:48" ht="24" customHeight="1">
      <c r="K127" s="748" t="s">
        <v>1586</v>
      </c>
      <c r="M127" s="283">
        <v>1</v>
      </c>
      <c r="N127" s="283" t="s">
        <v>869</v>
      </c>
      <c r="O127" s="374" t="s">
        <v>1354</v>
      </c>
      <c r="P127" s="283">
        <f>P142</f>
        <v>38.950000000000003</v>
      </c>
      <c r="Q127" s="374" t="s">
        <v>869</v>
      </c>
      <c r="R127" s="283">
        <f>(M127*P127)</f>
        <v>38.950000000000003</v>
      </c>
      <c r="W127" s="744"/>
      <c r="X127" s="748"/>
      <c r="AR127" s="374"/>
    </row>
    <row r="128" spans="6:48" ht="24" customHeight="1">
      <c r="H128" s="374" t="s">
        <v>614</v>
      </c>
      <c r="K128" s="283">
        <f>SUM(K125:K126)</f>
        <v>1669</v>
      </c>
      <c r="N128" s="283" t="s">
        <v>449</v>
      </c>
      <c r="O128" s="374" t="s">
        <v>450</v>
      </c>
      <c r="P128" s="374" t="s">
        <v>975</v>
      </c>
      <c r="Q128" s="374" t="s">
        <v>449</v>
      </c>
      <c r="R128" s="283">
        <v>0</v>
      </c>
      <c r="U128" s="374"/>
      <c r="W128" s="744"/>
      <c r="AP128" s="757" t="s">
        <v>1833</v>
      </c>
      <c r="AR128" s="374"/>
    </row>
    <row r="129" spans="1:48" ht="24" customHeight="1">
      <c r="K129" s="748" t="s">
        <v>1586</v>
      </c>
      <c r="Q129" s="374"/>
      <c r="R129" s="748" t="s">
        <v>1586</v>
      </c>
      <c r="W129" s="744"/>
      <c r="X129" s="748"/>
      <c r="AP129" s="748" t="s">
        <v>1586</v>
      </c>
      <c r="AR129" s="374"/>
    </row>
    <row r="130" spans="1:48" ht="38.25" customHeight="1">
      <c r="F130" s="765"/>
      <c r="H130" s="780" t="s">
        <v>6075</v>
      </c>
      <c r="I130" s="751" t="s">
        <v>1399</v>
      </c>
      <c r="K130" s="750">
        <f>ROUND(K128/10,2)</f>
        <v>166.9</v>
      </c>
      <c r="O130" s="374" t="s">
        <v>1516</v>
      </c>
      <c r="Q130" s="374"/>
      <c r="R130" s="283">
        <f>SUM(R126:R128)</f>
        <v>240.4</v>
      </c>
      <c r="S130" s="771"/>
      <c r="U130" s="780"/>
      <c r="V130" s="751"/>
      <c r="W130" s="744"/>
      <c r="X130" s="750"/>
      <c r="AN130" s="774">
        <v>10</v>
      </c>
      <c r="AO130" s="283" t="s">
        <v>2251</v>
      </c>
      <c r="AP130" s="374" t="s">
        <v>3749</v>
      </c>
      <c r="AR130" s="374"/>
    </row>
    <row r="131" spans="1:48" ht="24" customHeight="1">
      <c r="I131" s="751" t="s">
        <v>1362</v>
      </c>
      <c r="K131" s="750">
        <f>ROUND(K130+C36,2)</f>
        <v>166.9</v>
      </c>
      <c r="V131" s="751"/>
      <c r="W131" s="744"/>
      <c r="X131" s="750"/>
      <c r="AP131" s="283" t="str">
        <f>AP62</f>
        <v>Bricks of size 23x11x7 cm</v>
      </c>
      <c r="AR131" s="374"/>
    </row>
    <row r="132" spans="1:48" ht="24" customHeight="1">
      <c r="I132" s="751"/>
      <c r="K132" s="748"/>
      <c r="V132" s="751"/>
      <c r="W132" s="744"/>
      <c r="X132" s="748"/>
      <c r="AP132" s="748" t="s">
        <v>1586</v>
      </c>
      <c r="AR132" s="374"/>
    </row>
    <row r="133" spans="1:48" ht="24" customHeight="1">
      <c r="F133" s="765">
        <v>1.6</v>
      </c>
      <c r="H133" s="374" t="s">
        <v>796</v>
      </c>
      <c r="I133" s="751"/>
      <c r="S133" s="771">
        <v>1.6</v>
      </c>
      <c r="U133" s="374" t="s">
        <v>796</v>
      </c>
      <c r="V133" s="751"/>
      <c r="W133" s="744"/>
      <c r="AN133" s="283">
        <f>AN64</f>
        <v>1300</v>
      </c>
      <c r="AO133" s="283" t="s">
        <v>1425</v>
      </c>
      <c r="AP133" s="283" t="str">
        <f>AP62</f>
        <v>Bricks of size 23x11x7 cm</v>
      </c>
      <c r="AQ133" s="283">
        <f>AC45</f>
        <v>6595</v>
      </c>
      <c r="AR133" s="374" t="s">
        <v>1594</v>
      </c>
      <c r="AS133" s="283">
        <f>(AN133*AQ133)/1000</f>
        <v>8573.5</v>
      </c>
      <c r="AU133" s="283">
        <f t="shared" si="23"/>
        <v>1945.33</v>
      </c>
      <c r="AV133" s="283">
        <f t="shared" si="24"/>
        <v>6628.17</v>
      </c>
    </row>
    <row r="134" spans="1:48" ht="24" customHeight="1">
      <c r="H134" s="374" t="s">
        <v>382</v>
      </c>
      <c r="I134" s="751" t="s">
        <v>1399</v>
      </c>
      <c r="K134" s="751">
        <f>C62*1.5</f>
        <v>168.08</v>
      </c>
      <c r="L134" s="751"/>
      <c r="M134" s="283">
        <f>M117*1.5</f>
        <v>112.28</v>
      </c>
      <c r="U134" s="374" t="s">
        <v>382</v>
      </c>
      <c r="V134" s="751" t="s">
        <v>1399</v>
      </c>
      <c r="W134" s="744"/>
      <c r="X134" s="751">
        <f>V82*1.5</f>
        <v>112.28</v>
      </c>
      <c r="AN134" s="746">
        <v>0.70799999999999996</v>
      </c>
      <c r="AO134" s="283" t="s">
        <v>869</v>
      </c>
      <c r="AP134" s="374" t="s">
        <v>1307</v>
      </c>
      <c r="AQ134" s="283">
        <f>K40</f>
        <v>4364.46</v>
      </c>
      <c r="AR134" s="374" t="s">
        <v>869</v>
      </c>
      <c r="AS134" s="283">
        <f>(AN134*AQ134)</f>
        <v>3090.04</v>
      </c>
      <c r="AU134" s="283">
        <f t="shared" si="23"/>
        <v>701.13</v>
      </c>
      <c r="AV134" s="283">
        <f t="shared" si="24"/>
        <v>2388.91</v>
      </c>
    </row>
    <row r="135" spans="1:48" ht="24" customHeight="1">
      <c r="F135" s="374" t="s">
        <v>975</v>
      </c>
      <c r="H135" s="374" t="s">
        <v>383</v>
      </c>
      <c r="I135" s="751" t="s">
        <v>1362</v>
      </c>
      <c r="K135" s="750">
        <f>ROUND(K134+C36,2)</f>
        <v>168.08</v>
      </c>
      <c r="S135" s="773" t="s">
        <v>975</v>
      </c>
      <c r="U135" s="374" t="s">
        <v>383</v>
      </c>
      <c r="V135" s="751" t="s">
        <v>1362</v>
      </c>
      <c r="W135" s="744"/>
      <c r="X135" s="750">
        <f>ROUND(X134+C36,2)</f>
        <v>112.28</v>
      </c>
      <c r="AN135" s="283">
        <v>1</v>
      </c>
      <c r="AO135" s="283" t="s">
        <v>868</v>
      </c>
      <c r="AP135" s="374" t="s">
        <v>2009</v>
      </c>
      <c r="AQ135" s="283">
        <f>AQ110</f>
        <v>999</v>
      </c>
      <c r="AR135" s="374" t="s">
        <v>868</v>
      </c>
      <c r="AS135" s="283">
        <f>(AN135*AQ135)</f>
        <v>999</v>
      </c>
      <c r="AU135" s="283">
        <f t="shared" si="23"/>
        <v>226.67</v>
      </c>
      <c r="AV135" s="283">
        <f t="shared" si="24"/>
        <v>772.33</v>
      </c>
    </row>
    <row r="136" spans="1:48" ht="24" customHeight="1">
      <c r="K136" s="748" t="s">
        <v>2055</v>
      </c>
      <c r="W136" s="744"/>
      <c r="X136" s="748" t="s">
        <v>2055</v>
      </c>
      <c r="AN136" s="283">
        <v>3</v>
      </c>
      <c r="AO136" s="283" t="s">
        <v>868</v>
      </c>
      <c r="AP136" s="374" t="s">
        <v>1712</v>
      </c>
      <c r="AQ136" s="283">
        <f>AQ111</f>
        <v>932</v>
      </c>
      <c r="AR136" s="374" t="s">
        <v>868</v>
      </c>
      <c r="AS136" s="283">
        <f>(AN136*AQ136)</f>
        <v>2796</v>
      </c>
      <c r="AU136" s="283">
        <f t="shared" si="23"/>
        <v>634.41</v>
      </c>
      <c r="AV136" s="283">
        <f t="shared" si="24"/>
        <v>2161.59</v>
      </c>
    </row>
    <row r="137" spans="1:48" ht="24" customHeight="1">
      <c r="H137" s="745" t="s">
        <v>3730</v>
      </c>
      <c r="I137" s="751" t="s">
        <v>1399</v>
      </c>
      <c r="K137" s="751">
        <f>C62*1.25</f>
        <v>140.06</v>
      </c>
      <c r="U137" s="745" t="s">
        <v>1385</v>
      </c>
      <c r="V137" s="751" t="s">
        <v>1399</v>
      </c>
      <c r="W137" s="744"/>
      <c r="X137" s="751">
        <f>V82*1.25</f>
        <v>93.56</v>
      </c>
      <c r="AN137" s="283">
        <v>2</v>
      </c>
      <c r="AO137" s="283" t="s">
        <v>868</v>
      </c>
      <c r="AP137" s="374" t="s">
        <v>1902</v>
      </c>
      <c r="AQ137" s="283">
        <f>AQ112</f>
        <v>651</v>
      </c>
      <c r="AR137" s="374" t="s">
        <v>868</v>
      </c>
      <c r="AS137" s="283">
        <f>(AN137*AQ137)</f>
        <v>1302</v>
      </c>
      <c r="AU137" s="283">
        <f t="shared" si="23"/>
        <v>295.42</v>
      </c>
      <c r="AV137" s="283">
        <f t="shared" si="24"/>
        <v>1006.58</v>
      </c>
    </row>
    <row r="138" spans="1:48" ht="24" customHeight="1">
      <c r="A138" s="792">
        <f>(A92+1)</f>
        <v>80</v>
      </c>
      <c r="B138" s="374" t="s">
        <v>1548</v>
      </c>
      <c r="C138" s="283">
        <f>AC30</f>
        <v>11907</v>
      </c>
      <c r="D138" s="283">
        <v>13.87</v>
      </c>
      <c r="E138" s="374" t="s">
        <v>975</v>
      </c>
      <c r="F138" s="744" t="s">
        <v>384</v>
      </c>
      <c r="G138" s="283" t="s">
        <v>2251</v>
      </c>
      <c r="H138" s="374" t="s">
        <v>385</v>
      </c>
      <c r="M138" s="744" t="s">
        <v>384</v>
      </c>
      <c r="N138" s="283" t="s">
        <v>2251</v>
      </c>
      <c r="O138" s="374" t="s">
        <v>385</v>
      </c>
      <c r="Q138" s="374"/>
      <c r="W138" s="744"/>
      <c r="AG138" s="374"/>
      <c r="AN138" s="283">
        <v>6</v>
      </c>
      <c r="AO138" s="283" t="s">
        <v>868</v>
      </c>
      <c r="AP138" s="374" t="s">
        <v>320</v>
      </c>
      <c r="AQ138" s="283">
        <f>AQ113</f>
        <v>534</v>
      </c>
      <c r="AR138" s="374" t="s">
        <v>868</v>
      </c>
      <c r="AS138" s="283">
        <f>(AN138*AQ138)</f>
        <v>3204</v>
      </c>
      <c r="AU138" s="283">
        <f t="shared" si="23"/>
        <v>726.99</v>
      </c>
      <c r="AV138" s="283">
        <f t="shared" si="24"/>
        <v>2477.0100000000002</v>
      </c>
    </row>
    <row r="139" spans="1:48" ht="24" customHeight="1">
      <c r="A139" s="792">
        <f t="shared" ref="A139:A144" si="25">(A138+1)</f>
        <v>81</v>
      </c>
      <c r="B139" s="374" t="s">
        <v>387</v>
      </c>
      <c r="C139" s="283">
        <f>AC33</f>
        <v>58000</v>
      </c>
      <c r="D139" s="374" t="s">
        <v>861</v>
      </c>
      <c r="H139" s="374" t="s">
        <v>6076</v>
      </c>
      <c r="O139" s="374" t="s">
        <v>6077</v>
      </c>
      <c r="Q139" s="374"/>
      <c r="W139" s="744"/>
      <c r="AG139" s="374"/>
      <c r="AO139" s="283" t="s">
        <v>449</v>
      </c>
      <c r="AP139" s="374" t="s">
        <v>450</v>
      </c>
      <c r="AQ139" s="374" t="s">
        <v>975</v>
      </c>
      <c r="AR139" s="374" t="s">
        <v>449</v>
      </c>
      <c r="AS139" s="283">
        <v>0</v>
      </c>
      <c r="AU139" s="283">
        <f t="shared" si="23"/>
        <v>0</v>
      </c>
      <c r="AV139" s="283">
        <f t="shared" si="24"/>
        <v>0</v>
      </c>
    </row>
    <row r="140" spans="1:48" ht="24" customHeight="1">
      <c r="A140" s="792">
        <f t="shared" si="25"/>
        <v>82</v>
      </c>
      <c r="B140" s="374" t="s">
        <v>1802</v>
      </c>
      <c r="C140" s="283">
        <f>AC32</f>
        <v>58000</v>
      </c>
      <c r="D140" s="374" t="s">
        <v>861</v>
      </c>
      <c r="H140" s="748" t="s">
        <v>1586</v>
      </c>
      <c r="O140" s="748" t="s">
        <v>1586</v>
      </c>
      <c r="Q140" s="374"/>
      <c r="W140" s="744"/>
      <c r="AG140" s="374"/>
      <c r="AR140" s="374"/>
      <c r="AS140" s="748" t="s">
        <v>1586</v>
      </c>
      <c r="AU140" s="283">
        <f t="shared" si="23"/>
        <v>0</v>
      </c>
      <c r="AV140" s="283">
        <f t="shared" si="24"/>
        <v>0</v>
      </c>
    </row>
    <row r="141" spans="1:48" ht="24" customHeight="1">
      <c r="A141" s="792">
        <f t="shared" si="25"/>
        <v>83</v>
      </c>
      <c r="B141" s="374" t="s">
        <v>378</v>
      </c>
      <c r="C141" s="283">
        <f>AC33</f>
        <v>58000</v>
      </c>
      <c r="D141" s="374" t="s">
        <v>861</v>
      </c>
      <c r="F141" s="283">
        <v>1</v>
      </c>
      <c r="G141" s="283" t="s">
        <v>869</v>
      </c>
      <c r="H141" s="374" t="s">
        <v>379</v>
      </c>
      <c r="I141" s="283">
        <f>I36</f>
        <v>2074.06</v>
      </c>
      <c r="J141" s="374" t="s">
        <v>869</v>
      </c>
      <c r="K141" s="283">
        <f>(F141*I141)</f>
        <v>2074.06</v>
      </c>
      <c r="M141" s="283">
        <v>1</v>
      </c>
      <c r="N141" s="283" t="s">
        <v>869</v>
      </c>
      <c r="O141" s="374" t="s">
        <v>1921</v>
      </c>
      <c r="P141" s="283">
        <f>AC38</f>
        <v>257.64999999999998</v>
      </c>
      <c r="Q141" s="374" t="s">
        <v>869</v>
      </c>
      <c r="R141" s="283">
        <f>(M141*P141)</f>
        <v>257.64999999999998</v>
      </c>
      <c r="W141" s="744"/>
      <c r="AG141" s="374"/>
      <c r="AP141" s="374" t="s">
        <v>614</v>
      </c>
      <c r="AR141" s="374"/>
      <c r="AS141" s="283">
        <f>SUM(AS133:AS139)</f>
        <v>19964.54</v>
      </c>
      <c r="AU141" s="283">
        <f t="shared" si="23"/>
        <v>4529.95</v>
      </c>
      <c r="AV141" s="283">
        <f t="shared" si="24"/>
        <v>15434.59</v>
      </c>
    </row>
    <row r="142" spans="1:48" ht="24" customHeight="1">
      <c r="A142" s="792">
        <f t="shared" si="25"/>
        <v>84</v>
      </c>
      <c r="B142" s="374" t="s">
        <v>1546</v>
      </c>
      <c r="C142" s="283">
        <f>AC38</f>
        <v>257.64999999999998</v>
      </c>
      <c r="D142" s="374" t="s">
        <v>869</v>
      </c>
      <c r="F142" s="283">
        <v>1</v>
      </c>
      <c r="G142" s="283" t="s">
        <v>869</v>
      </c>
      <c r="H142" s="374" t="s">
        <v>1354</v>
      </c>
      <c r="I142" s="283">
        <f>C27</f>
        <v>34.200000000000003</v>
      </c>
      <c r="J142" s="374" t="s">
        <v>869</v>
      </c>
      <c r="K142" s="283">
        <f>(F142*I142)</f>
        <v>34.200000000000003</v>
      </c>
      <c r="M142" s="283">
        <v>1</v>
      </c>
      <c r="N142" s="283" t="s">
        <v>869</v>
      </c>
      <c r="O142" s="374" t="s">
        <v>1354</v>
      </c>
      <c r="P142" s="283">
        <f>C26</f>
        <v>38.950000000000003</v>
      </c>
      <c r="Q142" s="374" t="s">
        <v>869</v>
      </c>
      <c r="R142" s="283">
        <f>(M142*P142)</f>
        <v>38.950000000000003</v>
      </c>
      <c r="W142" s="744"/>
      <c r="AG142" s="374"/>
      <c r="AR142" s="374"/>
      <c r="AS142" s="748" t="s">
        <v>1586</v>
      </c>
      <c r="AU142" s="283">
        <f t="shared" si="23"/>
        <v>0</v>
      </c>
      <c r="AV142" s="283">
        <f t="shared" si="24"/>
        <v>0</v>
      </c>
    </row>
    <row r="143" spans="1:48" ht="24" customHeight="1">
      <c r="A143" s="792">
        <f t="shared" si="25"/>
        <v>85</v>
      </c>
      <c r="B143" s="374" t="s">
        <v>191</v>
      </c>
      <c r="C143" s="283">
        <v>43563.69</v>
      </c>
      <c r="D143" s="374" t="s">
        <v>861</v>
      </c>
      <c r="G143" s="283" t="s">
        <v>449</v>
      </c>
      <c r="H143" s="374" t="s">
        <v>450</v>
      </c>
      <c r="I143" s="374" t="s">
        <v>975</v>
      </c>
      <c r="J143" s="374" t="s">
        <v>449</v>
      </c>
      <c r="K143" s="283">
        <v>0</v>
      </c>
      <c r="N143" s="283" t="s">
        <v>449</v>
      </c>
      <c r="O143" s="374" t="s">
        <v>450</v>
      </c>
      <c r="P143" s="374" t="s">
        <v>975</v>
      </c>
      <c r="Q143" s="374" t="s">
        <v>449</v>
      </c>
      <c r="R143" s="283">
        <v>0</v>
      </c>
      <c r="W143" s="744"/>
      <c r="AG143" s="374"/>
      <c r="AP143" s="374" t="s">
        <v>773</v>
      </c>
      <c r="AR143" s="374"/>
      <c r="AS143" s="283">
        <f>(AS141/2.83168)</f>
        <v>7050.42</v>
      </c>
      <c r="AU143" s="283">
        <f t="shared" si="23"/>
        <v>1599.74</v>
      </c>
      <c r="AV143" s="283">
        <f t="shared" si="24"/>
        <v>5450.68</v>
      </c>
    </row>
    <row r="144" spans="1:48" ht="24" customHeight="1">
      <c r="A144" s="792">
        <f t="shared" si="25"/>
        <v>86</v>
      </c>
      <c r="B144" s="374" t="s">
        <v>5831</v>
      </c>
      <c r="C144" s="283">
        <f>56.35*1000</f>
        <v>56350</v>
      </c>
      <c r="D144" s="374" t="s">
        <v>861</v>
      </c>
      <c r="E144" s="283">
        <v>5</v>
      </c>
      <c r="K144" s="748" t="s">
        <v>1586</v>
      </c>
      <c r="Q144" s="374"/>
      <c r="R144" s="748" t="s">
        <v>1586</v>
      </c>
      <c r="W144" s="744"/>
      <c r="AG144" s="374"/>
      <c r="AR144" s="374"/>
      <c r="AS144" s="748" t="s">
        <v>2055</v>
      </c>
      <c r="AU144" s="283">
        <f t="shared" si="23"/>
        <v>0</v>
      </c>
      <c r="AV144" s="283">
        <f t="shared" si="24"/>
        <v>0</v>
      </c>
    </row>
    <row r="145" spans="1:48" ht="24" customHeight="1">
      <c r="B145" s="374" t="s">
        <v>975</v>
      </c>
      <c r="H145" s="374" t="s">
        <v>193</v>
      </c>
      <c r="K145" s="751">
        <f>SUM(K139:K143)</f>
        <v>2108.2600000000002</v>
      </c>
      <c r="O145" s="374" t="s">
        <v>1516</v>
      </c>
      <c r="Q145" s="374"/>
      <c r="R145" s="283">
        <f>SUM(R141:R143)</f>
        <v>296.60000000000002</v>
      </c>
      <c r="W145" s="744"/>
      <c r="AG145" s="374"/>
      <c r="AR145" s="374"/>
      <c r="AU145" s="283">
        <f t="shared" si="23"/>
        <v>0</v>
      </c>
      <c r="AV145" s="283">
        <f t="shared" si="24"/>
        <v>0</v>
      </c>
    </row>
    <row r="146" spans="1:48" ht="24" customHeight="1">
      <c r="A146" s="792">
        <f>(A144+1)</f>
        <v>87</v>
      </c>
      <c r="B146" s="374" t="s">
        <v>194</v>
      </c>
      <c r="C146" s="283">
        <v>7.5</v>
      </c>
      <c r="D146" s="374" t="s">
        <v>449</v>
      </c>
      <c r="K146" s="748" t="s">
        <v>1586</v>
      </c>
      <c r="O146" s="374" t="s">
        <v>2027</v>
      </c>
      <c r="Q146" s="374"/>
      <c r="R146" s="748" t="s">
        <v>1586</v>
      </c>
      <c r="W146" s="744"/>
      <c r="AG146" s="374"/>
      <c r="AO146" s="283" t="s">
        <v>675</v>
      </c>
      <c r="AP146" s="374" t="s">
        <v>2908</v>
      </c>
      <c r="AR146" s="374"/>
      <c r="AU146" s="283">
        <f t="shared" si="23"/>
        <v>0</v>
      </c>
      <c r="AV146" s="283">
        <f t="shared" si="24"/>
        <v>0</v>
      </c>
    </row>
    <row r="147" spans="1:48" ht="24" customHeight="1">
      <c r="B147" s="374" t="s">
        <v>4573</v>
      </c>
      <c r="C147" s="283">
        <v>15.5</v>
      </c>
      <c r="F147" s="744" t="s">
        <v>195</v>
      </c>
      <c r="G147" s="283" t="s">
        <v>2251</v>
      </c>
      <c r="H147" s="374" t="s">
        <v>6078</v>
      </c>
      <c r="W147" s="744"/>
      <c r="AP147" s="748" t="s">
        <v>1586</v>
      </c>
      <c r="AR147" s="374"/>
      <c r="AU147" s="283">
        <f t="shared" si="23"/>
        <v>0</v>
      </c>
      <c r="AV147" s="283">
        <f t="shared" si="24"/>
        <v>0</v>
      </c>
    </row>
    <row r="148" spans="1:48" ht="24" customHeight="1">
      <c r="A148" s="792">
        <f>(A146+1)</f>
        <v>88</v>
      </c>
      <c r="B148" s="374" t="s">
        <v>1644</v>
      </c>
      <c r="C148" s="283">
        <v>15.25</v>
      </c>
      <c r="D148" s="374" t="s">
        <v>1645</v>
      </c>
      <c r="H148" s="374" t="s">
        <v>1027</v>
      </c>
      <c r="M148" s="744" t="s">
        <v>384</v>
      </c>
      <c r="N148" s="283" t="s">
        <v>2251</v>
      </c>
      <c r="O148" s="374" t="s">
        <v>385</v>
      </c>
      <c r="Q148" s="374"/>
      <c r="W148" s="744"/>
      <c r="AN148" s="283">
        <v>1.1000000000000001</v>
      </c>
      <c r="AO148" s="283" t="s">
        <v>869</v>
      </c>
      <c r="AP148" s="374" t="s">
        <v>1119</v>
      </c>
      <c r="AQ148" s="283">
        <f>(AS143)</f>
        <v>7050.42</v>
      </c>
      <c r="AR148" s="374" t="s">
        <v>869</v>
      </c>
      <c r="AS148" s="283">
        <f>(AN148*AQ148)</f>
        <v>7755.46</v>
      </c>
      <c r="AU148" s="283">
        <f t="shared" si="23"/>
        <v>1759.71</v>
      </c>
      <c r="AV148" s="283">
        <f t="shared" si="24"/>
        <v>5995.75</v>
      </c>
    </row>
    <row r="149" spans="1:48" ht="24" customHeight="1">
      <c r="A149" s="792">
        <f>(A148+1)</f>
        <v>89</v>
      </c>
      <c r="B149" s="374" t="s">
        <v>5261</v>
      </c>
      <c r="C149" s="283">
        <v>145.19999999999999</v>
      </c>
      <c r="D149" s="374" t="s">
        <v>1645</v>
      </c>
      <c r="H149" s="374" t="s">
        <v>487</v>
      </c>
      <c r="O149" s="374" t="s">
        <v>6079</v>
      </c>
      <c r="Q149" s="374"/>
      <c r="W149" s="744"/>
      <c r="AN149" s="283">
        <v>1</v>
      </c>
      <c r="AO149" s="283" t="s">
        <v>769</v>
      </c>
      <c r="AP149" s="374" t="s">
        <v>2009</v>
      </c>
      <c r="AQ149" s="283">
        <f>AQ135</f>
        <v>999</v>
      </c>
      <c r="AR149" s="374" t="s">
        <v>868</v>
      </c>
      <c r="AS149" s="283">
        <f>(AN149*AQ149)</f>
        <v>999</v>
      </c>
      <c r="AU149" s="283">
        <f t="shared" si="23"/>
        <v>226.67</v>
      </c>
      <c r="AV149" s="283">
        <f t="shared" si="24"/>
        <v>772.33</v>
      </c>
    </row>
    <row r="150" spans="1:48" ht="24" customHeight="1">
      <c r="B150" s="283" t="s">
        <v>5832</v>
      </c>
      <c r="C150" s="283">
        <v>43.2</v>
      </c>
      <c r="D150" s="283" t="s">
        <v>1645</v>
      </c>
      <c r="H150" s="374" t="s">
        <v>523</v>
      </c>
      <c r="O150" s="748" t="s">
        <v>1586</v>
      </c>
      <c r="Q150" s="374"/>
      <c r="W150" s="744"/>
      <c r="AO150" s="283" t="s">
        <v>449</v>
      </c>
      <c r="AP150" s="374" t="s">
        <v>450</v>
      </c>
      <c r="AQ150" s="374" t="s">
        <v>975</v>
      </c>
      <c r="AR150" s="374" t="s">
        <v>449</v>
      </c>
      <c r="AS150" s="283">
        <v>0</v>
      </c>
      <c r="AU150" s="283">
        <f t="shared" si="23"/>
        <v>0</v>
      </c>
      <c r="AV150" s="283">
        <f t="shared" si="24"/>
        <v>0</v>
      </c>
    </row>
    <row r="151" spans="1:48" ht="24" customHeight="1">
      <c r="H151" s="374" t="s">
        <v>524</v>
      </c>
      <c r="M151" s="283">
        <v>1</v>
      </c>
      <c r="N151" s="283" t="s">
        <v>869</v>
      </c>
      <c r="O151" s="374" t="s">
        <v>3587</v>
      </c>
      <c r="P151" s="283">
        <f>AC43</f>
        <v>187.62</v>
      </c>
      <c r="Q151" s="374" t="s">
        <v>869</v>
      </c>
      <c r="R151" s="283">
        <f>(M151*P151)</f>
        <v>187.62</v>
      </c>
      <c r="W151" s="744"/>
      <c r="AR151" s="374"/>
      <c r="AS151" s="748" t="s">
        <v>1586</v>
      </c>
      <c r="AU151" s="283">
        <f t="shared" si="23"/>
        <v>0</v>
      </c>
      <c r="AV151" s="283">
        <f t="shared" si="24"/>
        <v>0</v>
      </c>
    </row>
    <row r="152" spans="1:48" ht="24" customHeight="1">
      <c r="H152" s="748" t="s">
        <v>1586</v>
      </c>
      <c r="M152" s="283">
        <v>1</v>
      </c>
      <c r="N152" s="283" t="s">
        <v>869</v>
      </c>
      <c r="O152" s="374" t="s">
        <v>1354</v>
      </c>
      <c r="P152" s="283">
        <f>AE28</f>
        <v>38.950000000000003</v>
      </c>
      <c r="Q152" s="374" t="s">
        <v>869</v>
      </c>
      <c r="R152" s="283">
        <f>(M152*P152)</f>
        <v>38.950000000000003</v>
      </c>
      <c r="W152" s="744"/>
      <c r="AP152" s="374" t="s">
        <v>441</v>
      </c>
      <c r="AR152" s="374"/>
      <c r="AS152" s="751">
        <f>SUM(AS148:AS150)</f>
        <v>8754.4599999999991</v>
      </c>
      <c r="AU152" s="283">
        <f t="shared" si="23"/>
        <v>1986.39</v>
      </c>
      <c r="AV152" s="283">
        <f t="shared" si="24"/>
        <v>6768.07</v>
      </c>
    </row>
    <row r="153" spans="1:48" ht="24" customHeight="1">
      <c r="F153" s="283">
        <v>0.7</v>
      </c>
      <c r="G153" s="283" t="s">
        <v>869</v>
      </c>
      <c r="H153" s="374" t="s">
        <v>2002</v>
      </c>
      <c r="I153" s="283">
        <f>C80</f>
        <v>2074.06</v>
      </c>
      <c r="J153" s="374" t="s">
        <v>869</v>
      </c>
      <c r="K153" s="283">
        <f t="shared" ref="K153:K158" si="26">(F153*I153)</f>
        <v>1451.84</v>
      </c>
      <c r="N153" s="283" t="s">
        <v>449</v>
      </c>
      <c r="O153" s="374" t="s">
        <v>450</v>
      </c>
      <c r="P153" s="374" t="s">
        <v>975</v>
      </c>
      <c r="Q153" s="374" t="s">
        <v>449</v>
      </c>
      <c r="R153" s="283">
        <v>0</v>
      </c>
      <c r="W153" s="744"/>
      <c r="AR153" s="374"/>
      <c r="AS153" s="748" t="s">
        <v>1586</v>
      </c>
      <c r="AU153" s="283">
        <f t="shared" si="23"/>
        <v>0</v>
      </c>
      <c r="AV153" s="283">
        <f t="shared" si="24"/>
        <v>0</v>
      </c>
    </row>
    <row r="154" spans="1:48" ht="24" customHeight="1">
      <c r="F154" s="283">
        <v>0.7</v>
      </c>
      <c r="G154" s="283" t="s">
        <v>869</v>
      </c>
      <c r="H154" s="374" t="s">
        <v>525</v>
      </c>
      <c r="I154" s="283">
        <f>C813</f>
        <v>3.15</v>
      </c>
      <c r="J154" s="374" t="s">
        <v>869</v>
      </c>
      <c r="K154" s="283">
        <f t="shared" si="26"/>
        <v>2.21</v>
      </c>
      <c r="Q154" s="374"/>
      <c r="R154" s="748" t="s">
        <v>1586</v>
      </c>
      <c r="W154" s="744"/>
      <c r="AP154" s="374" t="s">
        <v>552</v>
      </c>
      <c r="AR154" s="374"/>
      <c r="AS154" s="283">
        <f>(AS152/10)</f>
        <v>875.45</v>
      </c>
      <c r="AU154" s="283">
        <f t="shared" si="23"/>
        <v>198.64</v>
      </c>
      <c r="AV154" s="283">
        <f t="shared" si="24"/>
        <v>676.81</v>
      </c>
    </row>
    <row r="155" spans="1:48" ht="24" customHeight="1">
      <c r="F155" s="283">
        <v>0.72</v>
      </c>
      <c r="G155" s="283" t="s">
        <v>869</v>
      </c>
      <c r="H155" s="374" t="s">
        <v>1641</v>
      </c>
      <c r="I155" s="283">
        <f>C35</f>
        <v>257.64999999999998</v>
      </c>
      <c r="J155" s="374" t="s">
        <v>869</v>
      </c>
      <c r="K155" s="283">
        <f t="shared" si="26"/>
        <v>185.51</v>
      </c>
      <c r="O155" s="374" t="s">
        <v>1516</v>
      </c>
      <c r="Q155" s="374"/>
      <c r="R155" s="283">
        <f>SUM(R151:R153)</f>
        <v>226.57</v>
      </c>
      <c r="W155" s="744"/>
      <c r="AR155" s="374"/>
      <c r="AS155" s="748" t="s">
        <v>2055</v>
      </c>
      <c r="AU155" s="283">
        <f t="shared" si="23"/>
        <v>0</v>
      </c>
      <c r="AV155" s="283">
        <f t="shared" si="24"/>
        <v>0</v>
      </c>
    </row>
    <row r="156" spans="1:48" ht="24" customHeight="1">
      <c r="F156" s="283">
        <v>0.72</v>
      </c>
      <c r="G156" s="283" t="s">
        <v>869</v>
      </c>
      <c r="H156" s="374" t="s">
        <v>525</v>
      </c>
      <c r="I156" s="283">
        <f>C813</f>
        <v>3.15</v>
      </c>
      <c r="J156" s="374" t="s">
        <v>869</v>
      </c>
      <c r="K156" s="283">
        <f t="shared" si="26"/>
        <v>2.27</v>
      </c>
      <c r="O156" s="374" t="s">
        <v>2027</v>
      </c>
      <c r="Q156" s="374"/>
      <c r="R156" s="748" t="s">
        <v>1586</v>
      </c>
      <c r="W156" s="744"/>
      <c r="AP156" s="374" t="s">
        <v>386</v>
      </c>
      <c r="AR156" s="374">
        <f>AS156-AS154</f>
        <v>8.68</v>
      </c>
      <c r="AS156" s="751">
        <f>(AS154+C19/10*AN148)</f>
        <v>884.13</v>
      </c>
      <c r="AT156" s="283">
        <f>AS154-AS156</f>
        <v>-8.68</v>
      </c>
      <c r="AU156" s="283">
        <f t="shared" si="23"/>
        <v>200.61</v>
      </c>
      <c r="AV156" s="283">
        <f t="shared" si="24"/>
        <v>683.52</v>
      </c>
    </row>
    <row r="157" spans="1:48" ht="24" customHeight="1">
      <c r="F157" s="283">
        <v>1</v>
      </c>
      <c r="G157" s="283" t="s">
        <v>869</v>
      </c>
      <c r="H157" s="374" t="s">
        <v>1792</v>
      </c>
      <c r="I157" s="283">
        <f>C18</f>
        <v>116</v>
      </c>
      <c r="J157" s="374" t="s">
        <v>869</v>
      </c>
      <c r="K157" s="283">
        <f t="shared" si="26"/>
        <v>116</v>
      </c>
      <c r="W157" s="744"/>
      <c r="AP157" s="374" t="s">
        <v>388</v>
      </c>
      <c r="AR157" s="374">
        <f>AS157-AS156</f>
        <v>17.510000000000002</v>
      </c>
      <c r="AS157" s="751">
        <f>(AS156+C20/10*AN148)</f>
        <v>901.64</v>
      </c>
      <c r="AT157" s="283">
        <f>AS157-AS156</f>
        <v>17.510000000000002</v>
      </c>
      <c r="AU157" s="283">
        <f t="shared" si="23"/>
        <v>204.58</v>
      </c>
      <c r="AV157" s="283">
        <f t="shared" si="24"/>
        <v>697.06</v>
      </c>
    </row>
    <row r="158" spans="1:48" ht="24" customHeight="1">
      <c r="F158" s="283">
        <v>1</v>
      </c>
      <c r="G158" s="283" t="s">
        <v>869</v>
      </c>
      <c r="H158" s="374" t="s">
        <v>1642</v>
      </c>
      <c r="I158" s="283">
        <f>C147</f>
        <v>15.5</v>
      </c>
      <c r="J158" s="374" t="s">
        <v>869</v>
      </c>
      <c r="K158" s="283">
        <f t="shared" si="26"/>
        <v>15.5</v>
      </c>
      <c r="W158" s="744"/>
      <c r="AP158" s="374" t="s">
        <v>2232</v>
      </c>
      <c r="AR158" s="374">
        <f>AS158-AS157</f>
        <v>17.510000000000002</v>
      </c>
      <c r="AS158" s="751">
        <f>(AS157+C21/10*AN148)</f>
        <v>919.15</v>
      </c>
      <c r="AU158" s="283">
        <f t="shared" si="23"/>
        <v>208.56</v>
      </c>
      <c r="AV158" s="283">
        <f t="shared" si="24"/>
        <v>710.59</v>
      </c>
    </row>
    <row r="159" spans="1:48" ht="24" customHeight="1">
      <c r="H159" s="374" t="s">
        <v>1643</v>
      </c>
      <c r="W159" s="744"/>
      <c r="AP159" s="374" t="s">
        <v>380</v>
      </c>
      <c r="AR159" s="374">
        <f>AS159-AS158</f>
        <v>17.510000000000002</v>
      </c>
      <c r="AS159" s="751">
        <f>(AS158+C21/10*AN148)</f>
        <v>936.66</v>
      </c>
      <c r="AU159" s="283">
        <f t="shared" si="23"/>
        <v>212.53</v>
      </c>
      <c r="AV159" s="283">
        <f t="shared" si="24"/>
        <v>724.13</v>
      </c>
    </row>
    <row r="160" spans="1:48" ht="24" customHeight="1">
      <c r="G160" s="283" t="s">
        <v>449</v>
      </c>
      <c r="H160" s="374" t="s">
        <v>450</v>
      </c>
      <c r="I160" s="374" t="s">
        <v>975</v>
      </c>
      <c r="J160" s="374" t="s">
        <v>449</v>
      </c>
      <c r="K160" s="283">
        <v>0</v>
      </c>
      <c r="W160" s="744"/>
      <c r="AP160" s="374" t="s">
        <v>1532</v>
      </c>
      <c r="AR160" s="374">
        <f>AS160-AS159</f>
        <v>17.510000000000002</v>
      </c>
      <c r="AS160" s="751">
        <f>(AS159+C21/10*AN148)</f>
        <v>954.17</v>
      </c>
      <c r="AU160" s="283">
        <f t="shared" si="23"/>
        <v>216.5</v>
      </c>
      <c r="AV160" s="283">
        <f t="shared" si="24"/>
        <v>737.67</v>
      </c>
    </row>
    <row r="161" spans="1:48" ht="24" customHeight="1">
      <c r="K161" s="748" t="s">
        <v>1586</v>
      </c>
      <c r="M161" s="744" t="s">
        <v>666</v>
      </c>
      <c r="N161" s="283" t="s">
        <v>2251</v>
      </c>
      <c r="O161" s="374" t="s">
        <v>546</v>
      </c>
      <c r="Q161" s="374"/>
      <c r="W161" s="744"/>
      <c r="AN161" s="781">
        <v>11</v>
      </c>
      <c r="AO161" s="751" t="s">
        <v>2251</v>
      </c>
      <c r="AP161" s="745" t="s">
        <v>3750</v>
      </c>
      <c r="AQ161" s="751"/>
      <c r="AR161" s="745"/>
      <c r="AS161" s="751"/>
      <c r="AU161" s="283">
        <f t="shared" si="23"/>
        <v>0</v>
      </c>
      <c r="AV161" s="283">
        <f t="shared" si="24"/>
        <v>0</v>
      </c>
    </row>
    <row r="162" spans="1:48" ht="24" customHeight="1">
      <c r="H162" s="757" t="s">
        <v>193</v>
      </c>
      <c r="K162" s="751">
        <f>SUM(K153:K160)</f>
        <v>1773.33</v>
      </c>
      <c r="O162" s="374" t="s">
        <v>669</v>
      </c>
      <c r="Q162" s="374"/>
      <c r="W162" s="744"/>
      <c r="AN162" s="751"/>
      <c r="AO162" s="751"/>
      <c r="AP162" s="751" t="str">
        <f>AP62</f>
        <v>Bricks of size 23x11x7 cm</v>
      </c>
      <c r="AQ162" s="751"/>
      <c r="AR162" s="745"/>
      <c r="AS162" s="751"/>
      <c r="AU162" s="283">
        <f t="shared" si="23"/>
        <v>0</v>
      </c>
      <c r="AV162" s="283">
        <f t="shared" si="24"/>
        <v>0</v>
      </c>
    </row>
    <row r="163" spans="1:48" ht="24" customHeight="1">
      <c r="K163" s="748" t="s">
        <v>1586</v>
      </c>
      <c r="O163" s="748" t="s">
        <v>1586</v>
      </c>
      <c r="Q163" s="374"/>
      <c r="W163" s="744"/>
      <c r="AP163" s="748" t="s">
        <v>1586</v>
      </c>
      <c r="AR163" s="374"/>
      <c r="AU163" s="283">
        <f t="shared" si="23"/>
        <v>0</v>
      </c>
      <c r="AV163" s="283">
        <f t="shared" si="24"/>
        <v>0</v>
      </c>
    </row>
    <row r="164" spans="1:48" ht="24" customHeight="1">
      <c r="H164" s="374" t="s">
        <v>975</v>
      </c>
      <c r="K164" s="374" t="s">
        <v>975</v>
      </c>
      <c r="M164" s="283">
        <v>9</v>
      </c>
      <c r="N164" s="283" t="s">
        <v>869</v>
      </c>
      <c r="O164" s="374" t="s">
        <v>1638</v>
      </c>
      <c r="P164" s="283">
        <f>I196</f>
        <v>1163</v>
      </c>
      <c r="Q164" s="374" t="s">
        <v>869</v>
      </c>
      <c r="R164" s="283">
        <f>(M164*P164)</f>
        <v>10467</v>
      </c>
      <c r="W164" s="744"/>
      <c r="AN164" s="283">
        <f>AN64</f>
        <v>1300</v>
      </c>
      <c r="AO164" s="283" t="s">
        <v>1425</v>
      </c>
      <c r="AP164" s="283" t="str">
        <f>AP62</f>
        <v>Bricks of size 23x11x7 cm</v>
      </c>
      <c r="AQ164" s="283">
        <f>AC45</f>
        <v>6595</v>
      </c>
      <c r="AR164" s="374" t="s">
        <v>1533</v>
      </c>
      <c r="AS164" s="283">
        <f>(AN164*AQ164)/1000</f>
        <v>8573.5</v>
      </c>
      <c r="AU164" s="283">
        <f t="shared" si="23"/>
        <v>1945.33</v>
      </c>
      <c r="AV164" s="283">
        <f t="shared" si="24"/>
        <v>6628.17</v>
      </c>
    </row>
    <row r="165" spans="1:48" ht="24" customHeight="1">
      <c r="K165" s="374" t="s">
        <v>975</v>
      </c>
      <c r="M165" s="283">
        <v>4.5</v>
      </c>
      <c r="N165" s="283" t="s">
        <v>869</v>
      </c>
      <c r="O165" s="374" t="s">
        <v>1307</v>
      </c>
      <c r="P165" s="283">
        <f>K40</f>
        <v>4364.46</v>
      </c>
      <c r="Q165" s="374" t="s">
        <v>869</v>
      </c>
      <c r="R165" s="283">
        <f>(M165*P165)</f>
        <v>19640.07</v>
      </c>
      <c r="W165" s="744"/>
      <c r="AN165" s="746">
        <f>AN134</f>
        <v>0.70799999999999996</v>
      </c>
      <c r="AO165" s="283" t="s">
        <v>869</v>
      </c>
      <c r="AP165" s="374" t="s">
        <v>1307</v>
      </c>
      <c r="AQ165" s="283">
        <f>AQ134</f>
        <v>4364.46</v>
      </c>
      <c r="AR165" s="374" t="s">
        <v>869</v>
      </c>
      <c r="AS165" s="283">
        <f>(AN165*AQ165)</f>
        <v>3090.04</v>
      </c>
      <c r="AU165" s="283">
        <f t="shared" ref="AU165:AU218" si="27">AS165*22.69/100</f>
        <v>701.13</v>
      </c>
      <c r="AV165" s="283">
        <f t="shared" ref="AV165:AV218" si="28">AS165-AU165</f>
        <v>2388.91</v>
      </c>
    </row>
    <row r="166" spans="1:48" ht="24" customHeight="1">
      <c r="A166" s="827">
        <v>2.2999999999999998</v>
      </c>
      <c r="B166" s="374" t="s">
        <v>246</v>
      </c>
      <c r="C166" s="283">
        <f>AC19+I169</f>
        <v>851.21</v>
      </c>
      <c r="F166" s="765">
        <v>2.6</v>
      </c>
      <c r="G166" s="283" t="s">
        <v>2251</v>
      </c>
      <c r="H166" s="374" t="s">
        <v>1171</v>
      </c>
      <c r="M166" s="283">
        <v>1.8</v>
      </c>
      <c r="N166" s="283" t="s">
        <v>868</v>
      </c>
      <c r="O166" s="374" t="s">
        <v>1712</v>
      </c>
      <c r="P166" s="283">
        <f>I198</f>
        <v>932</v>
      </c>
      <c r="Q166" s="374" t="s">
        <v>868</v>
      </c>
      <c r="R166" s="283">
        <f>(M166*P166)</f>
        <v>1677.6</v>
      </c>
      <c r="W166" s="744"/>
      <c r="AN166" s="283">
        <v>1</v>
      </c>
      <c r="AO166" s="283" t="s">
        <v>868</v>
      </c>
      <c r="AP166" s="374" t="s">
        <v>2009</v>
      </c>
      <c r="AQ166" s="283">
        <f>AQ135</f>
        <v>999</v>
      </c>
      <c r="AR166" s="374" t="s">
        <v>868</v>
      </c>
      <c r="AS166" s="283">
        <f>(AN166*AQ166)</f>
        <v>999</v>
      </c>
      <c r="AU166" s="283">
        <f t="shared" si="27"/>
        <v>226.67</v>
      </c>
      <c r="AV166" s="283">
        <f t="shared" si="28"/>
        <v>772.33</v>
      </c>
    </row>
    <row r="167" spans="1:48" ht="24" customHeight="1">
      <c r="A167" s="827">
        <v>2.4</v>
      </c>
      <c r="B167" s="374" t="s">
        <v>780</v>
      </c>
      <c r="C167" s="283">
        <f>AC20+I169</f>
        <v>932.21</v>
      </c>
      <c r="H167" s="748" t="s">
        <v>1586</v>
      </c>
      <c r="M167" s="283">
        <v>17.7</v>
      </c>
      <c r="N167" s="283" t="s">
        <v>868</v>
      </c>
      <c r="O167" s="374" t="s">
        <v>1902</v>
      </c>
      <c r="P167" s="283">
        <f>I199</f>
        <v>651</v>
      </c>
      <c r="Q167" s="374" t="s">
        <v>868</v>
      </c>
      <c r="R167" s="283">
        <f>(M167*P167)</f>
        <v>11522.7</v>
      </c>
      <c r="W167" s="744"/>
      <c r="AN167" s="283">
        <v>3</v>
      </c>
      <c r="AO167" s="283" t="s">
        <v>868</v>
      </c>
      <c r="AP167" s="374" t="s">
        <v>1712</v>
      </c>
      <c r="AQ167" s="283">
        <f>AQ136</f>
        <v>932</v>
      </c>
      <c r="AR167" s="374" t="s">
        <v>868</v>
      </c>
      <c r="AS167" s="283">
        <f>(AN167*AQ167)</f>
        <v>2796</v>
      </c>
      <c r="AU167" s="283">
        <f t="shared" si="27"/>
        <v>634.41</v>
      </c>
      <c r="AV167" s="283">
        <f t="shared" si="28"/>
        <v>2161.59</v>
      </c>
    </row>
    <row r="168" spans="1:48" ht="24" customHeight="1">
      <c r="F168" s="283">
        <v>1</v>
      </c>
      <c r="G168" s="283" t="s">
        <v>869</v>
      </c>
      <c r="H168" s="374" t="s">
        <v>1090</v>
      </c>
      <c r="I168" s="283">
        <f>AC15</f>
        <v>1163</v>
      </c>
      <c r="J168" s="374" t="s">
        <v>869</v>
      </c>
      <c r="K168" s="283">
        <f>(F168*I168)</f>
        <v>1163</v>
      </c>
      <c r="M168" s="283">
        <v>14.1</v>
      </c>
      <c r="N168" s="283" t="s">
        <v>868</v>
      </c>
      <c r="O168" s="374" t="s">
        <v>320</v>
      </c>
      <c r="P168" s="283">
        <f>I200</f>
        <v>534</v>
      </c>
      <c r="Q168" s="374" t="s">
        <v>868</v>
      </c>
      <c r="R168" s="283">
        <f>(M168*P168)</f>
        <v>7529.4</v>
      </c>
      <c r="W168" s="744"/>
      <c r="AN168" s="283">
        <v>2</v>
      </c>
      <c r="AO168" s="283" t="s">
        <v>868</v>
      </c>
      <c r="AP168" s="374" t="s">
        <v>1902</v>
      </c>
      <c r="AQ168" s="283">
        <f>AQ137</f>
        <v>651</v>
      </c>
      <c r="AR168" s="374" t="s">
        <v>868</v>
      </c>
      <c r="AS168" s="283">
        <f>(AN168*AQ168)</f>
        <v>1302</v>
      </c>
      <c r="AU168" s="283">
        <f t="shared" si="27"/>
        <v>295.42</v>
      </c>
      <c r="AV168" s="283">
        <f t="shared" si="28"/>
        <v>1006.58</v>
      </c>
    </row>
    <row r="169" spans="1:48" ht="24" customHeight="1">
      <c r="F169" s="283">
        <v>1</v>
      </c>
      <c r="G169" s="283" t="s">
        <v>869</v>
      </c>
      <c r="H169" s="374" t="s">
        <v>1354</v>
      </c>
      <c r="I169" s="283">
        <f>C26</f>
        <v>38.950000000000003</v>
      </c>
      <c r="J169" s="374" t="s">
        <v>869</v>
      </c>
      <c r="K169" s="283">
        <f>(F169*I169)</f>
        <v>38.950000000000003</v>
      </c>
      <c r="N169" s="283" t="s">
        <v>449</v>
      </c>
      <c r="O169" s="374" t="s">
        <v>450</v>
      </c>
      <c r="Q169" s="374" t="s">
        <v>449</v>
      </c>
      <c r="R169" s="283">
        <v>0</v>
      </c>
      <c r="W169" s="744"/>
      <c r="AN169" s="283">
        <v>6</v>
      </c>
      <c r="AO169" s="283" t="s">
        <v>868</v>
      </c>
      <c r="AP169" s="374" t="s">
        <v>320</v>
      </c>
      <c r="AQ169" s="283">
        <f>AQ138</f>
        <v>534</v>
      </c>
      <c r="AR169" s="374" t="s">
        <v>868</v>
      </c>
      <c r="AS169" s="283">
        <f>(AN169*AQ169)</f>
        <v>3204</v>
      </c>
      <c r="AU169" s="283">
        <f t="shared" si="27"/>
        <v>726.99</v>
      </c>
      <c r="AV169" s="283">
        <f t="shared" si="28"/>
        <v>2477.0100000000002</v>
      </c>
    </row>
    <row r="170" spans="1:48" ht="24" customHeight="1">
      <c r="G170" s="283" t="s">
        <v>449</v>
      </c>
      <c r="H170" s="374" t="s">
        <v>450</v>
      </c>
      <c r="I170" s="374" t="s">
        <v>975</v>
      </c>
      <c r="J170" s="374" t="s">
        <v>449</v>
      </c>
      <c r="K170" s="283">
        <v>0</v>
      </c>
      <c r="Q170" s="374"/>
      <c r="R170" s="748" t="s">
        <v>1586</v>
      </c>
      <c r="W170" s="744"/>
      <c r="AO170" s="283" t="s">
        <v>449</v>
      </c>
      <c r="AP170" s="374" t="s">
        <v>450</v>
      </c>
      <c r="AQ170" s="374" t="s">
        <v>975</v>
      </c>
      <c r="AR170" s="374" t="s">
        <v>449</v>
      </c>
      <c r="AS170" s="283">
        <v>5</v>
      </c>
      <c r="AU170" s="283">
        <f t="shared" si="27"/>
        <v>1.1299999999999999</v>
      </c>
      <c r="AV170" s="283">
        <f t="shared" si="28"/>
        <v>3.87</v>
      </c>
    </row>
    <row r="171" spans="1:48" ht="24" customHeight="1">
      <c r="K171" s="748" t="s">
        <v>1586</v>
      </c>
      <c r="Q171" s="374"/>
      <c r="R171" s="283">
        <f>SUM(R164:R169)</f>
        <v>50836.77</v>
      </c>
      <c r="W171" s="744"/>
      <c r="AR171" s="374"/>
      <c r="AS171" s="748" t="s">
        <v>1586</v>
      </c>
      <c r="AU171" s="283">
        <f t="shared" si="27"/>
        <v>0</v>
      </c>
      <c r="AV171" s="283">
        <f t="shared" si="28"/>
        <v>0</v>
      </c>
    </row>
    <row r="172" spans="1:48" ht="24" customHeight="1">
      <c r="H172" s="757" t="s">
        <v>193</v>
      </c>
      <c r="K172" s="751">
        <f>SUM(K167:K170)</f>
        <v>1201.95</v>
      </c>
      <c r="O172" s="744" t="s">
        <v>614</v>
      </c>
      <c r="Q172" s="374"/>
      <c r="R172" s="748" t="s">
        <v>1586</v>
      </c>
      <c r="W172" s="744"/>
      <c r="AP172" s="374" t="s">
        <v>614</v>
      </c>
      <c r="AR172" s="374"/>
      <c r="AS172" s="283">
        <f>SUM(AS164:AS170)</f>
        <v>19969.54</v>
      </c>
      <c r="AU172" s="283">
        <f t="shared" si="27"/>
        <v>4531.09</v>
      </c>
      <c r="AV172" s="283">
        <f t="shared" si="28"/>
        <v>15438.45</v>
      </c>
    </row>
    <row r="173" spans="1:48" ht="24" customHeight="1">
      <c r="K173" s="748" t="s">
        <v>1586</v>
      </c>
      <c r="Q173" s="374"/>
      <c r="R173" s="751">
        <f>(R171/10)</f>
        <v>5083.68</v>
      </c>
      <c r="W173" s="744"/>
      <c r="AR173" s="374"/>
      <c r="AS173" s="748" t="s">
        <v>1586</v>
      </c>
      <c r="AU173" s="283">
        <f t="shared" si="27"/>
        <v>0</v>
      </c>
      <c r="AV173" s="283">
        <f t="shared" si="28"/>
        <v>0</v>
      </c>
    </row>
    <row r="174" spans="1:48" ht="24" customHeight="1">
      <c r="F174" s="765">
        <v>2.7</v>
      </c>
      <c r="G174" s="283" t="s">
        <v>2251</v>
      </c>
      <c r="H174" s="374" t="s">
        <v>1991</v>
      </c>
      <c r="O174" s="757" t="s">
        <v>773</v>
      </c>
      <c r="Q174" s="374"/>
      <c r="R174" s="748" t="s">
        <v>2055</v>
      </c>
      <c r="W174" s="744"/>
      <c r="AP174" s="374" t="s">
        <v>773</v>
      </c>
      <c r="AR174" s="374"/>
      <c r="AS174" s="283">
        <f>(AS172/2.83168)</f>
        <v>7052.19</v>
      </c>
      <c r="AU174" s="283">
        <f t="shared" si="27"/>
        <v>1600.14</v>
      </c>
      <c r="AV174" s="283">
        <f t="shared" si="28"/>
        <v>5452.05</v>
      </c>
    </row>
    <row r="175" spans="1:48" ht="24" customHeight="1">
      <c r="H175" s="748" t="s">
        <v>1586</v>
      </c>
      <c r="W175" s="744"/>
      <c r="AR175" s="374"/>
      <c r="AS175" s="748" t="s">
        <v>2055</v>
      </c>
      <c r="AU175" s="283">
        <f t="shared" si="27"/>
        <v>0</v>
      </c>
      <c r="AV175" s="283">
        <f t="shared" si="28"/>
        <v>0</v>
      </c>
    </row>
    <row r="176" spans="1:48" ht="24" customHeight="1">
      <c r="F176" s="283">
        <v>1</v>
      </c>
      <c r="G176" s="283" t="s">
        <v>869</v>
      </c>
      <c r="H176" s="374" t="s">
        <v>832</v>
      </c>
      <c r="I176" s="283">
        <f>AC14</f>
        <v>1582.2</v>
      </c>
      <c r="J176" s="374" t="s">
        <v>869</v>
      </c>
      <c r="K176" s="283">
        <f>(F176*I176)</f>
        <v>1582.2</v>
      </c>
      <c r="W176" s="744"/>
      <c r="AN176" s="374" t="s">
        <v>249</v>
      </c>
      <c r="AR176" s="374"/>
      <c r="AU176" s="283">
        <f t="shared" si="27"/>
        <v>0</v>
      </c>
      <c r="AV176" s="283">
        <f t="shared" si="28"/>
        <v>0</v>
      </c>
    </row>
    <row r="177" spans="6:48" ht="24" customHeight="1">
      <c r="F177" s="283">
        <v>1</v>
      </c>
      <c r="G177" s="283" t="s">
        <v>869</v>
      </c>
      <c r="H177" s="374" t="s">
        <v>1354</v>
      </c>
      <c r="I177" s="283">
        <f>C26</f>
        <v>38.950000000000003</v>
      </c>
      <c r="J177" s="374" t="s">
        <v>869</v>
      </c>
      <c r="K177" s="283">
        <f>(F177*I177)</f>
        <v>38.950000000000003</v>
      </c>
      <c r="W177" s="744"/>
      <c r="AR177" s="374"/>
      <c r="AU177" s="283">
        <f t="shared" si="27"/>
        <v>0</v>
      </c>
      <c r="AV177" s="283">
        <f t="shared" si="28"/>
        <v>0</v>
      </c>
    </row>
    <row r="178" spans="6:48" ht="24" customHeight="1">
      <c r="G178" s="283" t="s">
        <v>449</v>
      </c>
      <c r="H178" s="374" t="s">
        <v>450</v>
      </c>
      <c r="I178" s="374" t="s">
        <v>975</v>
      </c>
      <c r="J178" s="374" t="s">
        <v>449</v>
      </c>
      <c r="K178" s="283">
        <v>0</v>
      </c>
      <c r="W178" s="744"/>
      <c r="AO178" s="283" t="s">
        <v>1539</v>
      </c>
      <c r="AP178" s="374" t="s">
        <v>431</v>
      </c>
      <c r="AR178" s="374"/>
      <c r="AU178" s="283">
        <f t="shared" si="27"/>
        <v>0</v>
      </c>
      <c r="AV178" s="283">
        <f t="shared" si="28"/>
        <v>0</v>
      </c>
    </row>
    <row r="179" spans="6:48" ht="24" customHeight="1">
      <c r="K179" s="748" t="s">
        <v>1586</v>
      </c>
      <c r="W179" s="744"/>
      <c r="AP179" s="748" t="s">
        <v>1586</v>
      </c>
      <c r="AR179" s="374"/>
      <c r="AU179" s="283">
        <f t="shared" si="27"/>
        <v>0</v>
      </c>
      <c r="AV179" s="283">
        <f t="shared" si="28"/>
        <v>0</v>
      </c>
    </row>
    <row r="180" spans="6:48" ht="24" customHeight="1">
      <c r="H180" s="757" t="s">
        <v>193</v>
      </c>
      <c r="K180" s="751">
        <f>SUM(K175:K178)</f>
        <v>1621.15</v>
      </c>
      <c r="W180" s="744"/>
      <c r="AN180" s="283">
        <v>0.7</v>
      </c>
      <c r="AO180" s="283" t="s">
        <v>869</v>
      </c>
      <c r="AP180" s="374" t="s">
        <v>2279</v>
      </c>
      <c r="AQ180" s="283">
        <f>AQ148</f>
        <v>7050.42</v>
      </c>
      <c r="AR180" s="374" t="s">
        <v>868</v>
      </c>
      <c r="AS180" s="283">
        <f>(AN180*AQ180)</f>
        <v>4935.29</v>
      </c>
      <c r="AU180" s="283">
        <f t="shared" si="27"/>
        <v>1119.82</v>
      </c>
      <c r="AV180" s="283">
        <f t="shared" si="28"/>
        <v>3815.47</v>
      </c>
    </row>
    <row r="181" spans="6:48" ht="24" customHeight="1">
      <c r="K181" s="748" t="s">
        <v>1586</v>
      </c>
      <c r="M181" s="283">
        <v>2.5</v>
      </c>
      <c r="N181" s="374" t="s">
        <v>869</v>
      </c>
      <c r="O181" s="374" t="s">
        <v>1631</v>
      </c>
      <c r="P181" s="283">
        <f>(K59)</f>
        <v>3639.66</v>
      </c>
      <c r="Q181" s="374" t="s">
        <v>869</v>
      </c>
      <c r="R181" s="283">
        <f>(M181*P181)</f>
        <v>9099.15</v>
      </c>
      <c r="W181" s="744"/>
      <c r="AG181" s="374"/>
      <c r="AN181" s="283">
        <v>1</v>
      </c>
      <c r="AO181" s="283" t="s">
        <v>769</v>
      </c>
      <c r="AP181" s="374" t="s">
        <v>2009</v>
      </c>
      <c r="AQ181" s="283">
        <f>AQ166</f>
        <v>999</v>
      </c>
      <c r="AR181" s="374" t="s">
        <v>868</v>
      </c>
      <c r="AS181" s="283">
        <f>(AN181*AQ181)</f>
        <v>999</v>
      </c>
      <c r="AU181" s="283">
        <f t="shared" si="27"/>
        <v>226.67</v>
      </c>
      <c r="AV181" s="283">
        <f t="shared" si="28"/>
        <v>772.33</v>
      </c>
    </row>
    <row r="182" spans="6:48" ht="24" customHeight="1">
      <c r="H182" s="374" t="s">
        <v>975</v>
      </c>
      <c r="M182" s="283">
        <v>3.5</v>
      </c>
      <c r="N182" s="374" t="s">
        <v>868</v>
      </c>
      <c r="O182" s="374" t="s">
        <v>2009</v>
      </c>
      <c r="P182" s="283">
        <f>(C10)</f>
        <v>999</v>
      </c>
      <c r="Q182" s="374" t="s">
        <v>868</v>
      </c>
      <c r="R182" s="283">
        <f>(M182*P182)</f>
        <v>3496.5</v>
      </c>
      <c r="W182" s="744"/>
      <c r="AG182" s="374"/>
      <c r="AO182" s="283" t="s">
        <v>449</v>
      </c>
      <c r="AP182" s="374" t="s">
        <v>450</v>
      </c>
      <c r="AQ182" s="374" t="s">
        <v>975</v>
      </c>
      <c r="AR182" s="374" t="s">
        <v>449</v>
      </c>
      <c r="AS182" s="283">
        <v>0</v>
      </c>
      <c r="AU182" s="283">
        <f t="shared" si="27"/>
        <v>0</v>
      </c>
      <c r="AV182" s="283">
        <f t="shared" si="28"/>
        <v>0</v>
      </c>
    </row>
    <row r="183" spans="6:48" ht="24" customHeight="1">
      <c r="F183" s="744" t="s">
        <v>1647</v>
      </c>
      <c r="H183" s="374" t="s">
        <v>6080</v>
      </c>
      <c r="W183" s="744"/>
      <c r="AR183" s="374"/>
      <c r="AS183" s="748" t="s">
        <v>1586</v>
      </c>
      <c r="AU183" s="283">
        <f t="shared" si="27"/>
        <v>0</v>
      </c>
      <c r="AV183" s="283">
        <f t="shared" si="28"/>
        <v>0</v>
      </c>
    </row>
    <row r="184" spans="6:48" ht="24" customHeight="1">
      <c r="W184" s="744"/>
      <c r="AP184" s="374" t="s">
        <v>441</v>
      </c>
      <c r="AR184" s="374"/>
      <c r="AS184" s="751">
        <f>SUM(AS180:AS182)</f>
        <v>5934.29</v>
      </c>
      <c r="AU184" s="283">
        <f t="shared" si="27"/>
        <v>1346.49</v>
      </c>
      <c r="AV184" s="283">
        <f t="shared" si="28"/>
        <v>4587.8</v>
      </c>
    </row>
    <row r="185" spans="6:48" ht="24" customHeight="1">
      <c r="F185" s="283">
        <v>1</v>
      </c>
      <c r="G185" s="283" t="s">
        <v>869</v>
      </c>
      <c r="H185" s="374" t="s">
        <v>64</v>
      </c>
      <c r="I185" s="283">
        <f>C35</f>
        <v>257.64999999999998</v>
      </c>
      <c r="J185" s="374" t="s">
        <v>869</v>
      </c>
      <c r="K185" s="283">
        <f>(F185*I185)</f>
        <v>257.64999999999998</v>
      </c>
      <c r="W185" s="744"/>
      <c r="AR185" s="374"/>
      <c r="AS185" s="748" t="s">
        <v>1586</v>
      </c>
      <c r="AU185" s="283">
        <f t="shared" si="27"/>
        <v>0</v>
      </c>
      <c r="AV185" s="283">
        <f t="shared" si="28"/>
        <v>0</v>
      </c>
    </row>
    <row r="186" spans="6:48" ht="24" customHeight="1">
      <c r="F186" s="283">
        <v>1</v>
      </c>
      <c r="G186" s="283" t="s">
        <v>869</v>
      </c>
      <c r="H186" s="374" t="s">
        <v>525</v>
      </c>
      <c r="I186" s="283">
        <f>C813</f>
        <v>3.15</v>
      </c>
      <c r="J186" s="374" t="s">
        <v>869</v>
      </c>
      <c r="K186" s="283">
        <f>(F186*I186)</f>
        <v>3.15</v>
      </c>
      <c r="W186" s="744"/>
      <c r="AP186" s="374" t="s">
        <v>552</v>
      </c>
      <c r="AR186" s="374"/>
      <c r="AS186" s="283">
        <f>(AS184/10)</f>
        <v>593.42999999999995</v>
      </c>
      <c r="AU186" s="283">
        <f t="shared" si="27"/>
        <v>134.65</v>
      </c>
      <c r="AV186" s="283">
        <f t="shared" si="28"/>
        <v>458.78</v>
      </c>
    </row>
    <row r="187" spans="6:48" ht="24" customHeight="1">
      <c r="F187" s="283">
        <v>1</v>
      </c>
      <c r="G187" s="283" t="s">
        <v>869</v>
      </c>
      <c r="H187" s="374" t="s">
        <v>1642</v>
      </c>
      <c r="I187" s="283">
        <f>C147</f>
        <v>15.5</v>
      </c>
      <c r="J187" s="374" t="s">
        <v>869</v>
      </c>
      <c r="K187" s="283">
        <f>(F187*I187)</f>
        <v>15.5</v>
      </c>
      <c r="W187" s="744"/>
      <c r="AR187" s="374"/>
      <c r="AS187" s="748" t="s">
        <v>2055</v>
      </c>
      <c r="AU187" s="283">
        <f t="shared" si="27"/>
        <v>0</v>
      </c>
      <c r="AV187" s="283">
        <f t="shared" si="28"/>
        <v>0</v>
      </c>
    </row>
    <row r="188" spans="6:48" ht="24" customHeight="1">
      <c r="H188" s="374" t="s">
        <v>1643</v>
      </c>
      <c r="W188" s="744"/>
      <c r="AP188" s="374" t="s">
        <v>386</v>
      </c>
      <c r="AR188" s="374">
        <f>AS188-AS186</f>
        <v>5.52</v>
      </c>
      <c r="AS188" s="751">
        <f>(AS186+C19/10*AN180)</f>
        <v>598.95000000000005</v>
      </c>
      <c r="AU188" s="283">
        <f t="shared" si="27"/>
        <v>135.9</v>
      </c>
      <c r="AV188" s="283">
        <f t="shared" si="28"/>
        <v>463.05</v>
      </c>
    </row>
    <row r="189" spans="6:48" ht="24" customHeight="1">
      <c r="K189" s="748" t="s">
        <v>1586</v>
      </c>
      <c r="W189" s="744"/>
      <c r="AP189" s="374" t="s">
        <v>388</v>
      </c>
      <c r="AR189" s="374">
        <f>AS189-AS188</f>
        <v>11.14</v>
      </c>
      <c r="AS189" s="751">
        <f>(AS188+C20/10*AN180)</f>
        <v>610.09</v>
      </c>
      <c r="AU189" s="283">
        <f t="shared" si="27"/>
        <v>138.43</v>
      </c>
      <c r="AV189" s="283">
        <f t="shared" si="28"/>
        <v>471.66</v>
      </c>
    </row>
    <row r="190" spans="6:48" ht="24" customHeight="1">
      <c r="H190" s="757" t="s">
        <v>193</v>
      </c>
      <c r="K190" s="751">
        <f>SUM(K183:K188)</f>
        <v>276.3</v>
      </c>
      <c r="W190" s="744"/>
      <c r="AP190" s="374" t="s">
        <v>2232</v>
      </c>
      <c r="AR190" s="374">
        <f>AS190-AS189</f>
        <v>11.14</v>
      </c>
      <c r="AS190" s="751">
        <f>(AS189+C21/10*AN180)</f>
        <v>621.23</v>
      </c>
      <c r="AU190" s="283">
        <f t="shared" si="27"/>
        <v>140.96</v>
      </c>
      <c r="AV190" s="283">
        <f t="shared" si="28"/>
        <v>480.27</v>
      </c>
    </row>
    <row r="191" spans="6:48" ht="24" customHeight="1">
      <c r="F191" s="374" t="s">
        <v>975</v>
      </c>
      <c r="K191" s="748" t="s">
        <v>1586</v>
      </c>
      <c r="W191" s="744"/>
      <c r="AP191" s="374" t="s">
        <v>380</v>
      </c>
      <c r="AR191" s="374">
        <f>AS191-AS190</f>
        <v>11.14</v>
      </c>
      <c r="AS191" s="751">
        <f>(AS190+C21/10*AN180)</f>
        <v>632.37</v>
      </c>
      <c r="AU191" s="283">
        <f t="shared" si="27"/>
        <v>143.47999999999999</v>
      </c>
      <c r="AV191" s="283">
        <f t="shared" si="28"/>
        <v>488.89</v>
      </c>
    </row>
    <row r="192" spans="6:48" ht="24" customHeight="1">
      <c r="K192" s="374" t="s">
        <v>975</v>
      </c>
      <c r="W192" s="744"/>
      <c r="AP192" s="374" t="s">
        <v>833</v>
      </c>
      <c r="AR192" s="374">
        <f>AS192-AS191</f>
        <v>11.14</v>
      </c>
      <c r="AS192" s="751">
        <f>(AS191+C21/10*AN180)</f>
        <v>643.51</v>
      </c>
      <c r="AU192" s="283">
        <f t="shared" si="27"/>
        <v>146.01</v>
      </c>
      <c r="AV192" s="283">
        <f t="shared" si="28"/>
        <v>497.5</v>
      </c>
    </row>
    <row r="193" spans="1:48" ht="24" customHeight="1">
      <c r="A193" s="792">
        <f>(A149+1)</f>
        <v>90</v>
      </c>
      <c r="B193" s="374" t="s">
        <v>664</v>
      </c>
      <c r="C193" s="283">
        <v>65</v>
      </c>
      <c r="D193" s="374" t="s">
        <v>665</v>
      </c>
      <c r="F193" s="744" t="s">
        <v>666</v>
      </c>
      <c r="G193" s="283" t="s">
        <v>2251</v>
      </c>
      <c r="H193" s="374" t="s">
        <v>667</v>
      </c>
      <c r="M193" s="744" t="s">
        <v>666</v>
      </c>
      <c r="N193" s="283" t="s">
        <v>2251</v>
      </c>
      <c r="O193" s="374" t="s">
        <v>211</v>
      </c>
      <c r="Q193" s="374"/>
      <c r="S193" s="744" t="s">
        <v>666</v>
      </c>
      <c r="T193" s="283" t="s">
        <v>2251</v>
      </c>
      <c r="U193" s="374" t="s">
        <v>211</v>
      </c>
      <c r="W193" s="744"/>
      <c r="AG193" s="374"/>
      <c r="AP193" s="374"/>
      <c r="AR193" s="374"/>
      <c r="AS193" s="751"/>
      <c r="AU193" s="283">
        <f t="shared" si="27"/>
        <v>0</v>
      </c>
      <c r="AV193" s="283">
        <f t="shared" si="28"/>
        <v>0</v>
      </c>
    </row>
    <row r="194" spans="1:48" ht="24" customHeight="1">
      <c r="A194" s="792">
        <f t="shared" ref="A194:A209" si="29">(A193+1)</f>
        <v>91</v>
      </c>
      <c r="B194" s="374" t="s">
        <v>668</v>
      </c>
      <c r="C194" s="283">
        <v>25</v>
      </c>
      <c r="D194" s="374" t="s">
        <v>665</v>
      </c>
      <c r="H194" s="374" t="s">
        <v>669</v>
      </c>
      <c r="O194" s="374" t="s">
        <v>1487</v>
      </c>
      <c r="Q194" s="374"/>
      <c r="S194" s="283"/>
      <c r="U194" s="374" t="s">
        <v>669</v>
      </c>
      <c r="W194" s="744"/>
      <c r="AG194" s="374"/>
      <c r="AO194" s="283" t="s">
        <v>1539</v>
      </c>
      <c r="AP194" s="374" t="s">
        <v>431</v>
      </c>
      <c r="AR194" s="374"/>
      <c r="AU194" s="283">
        <f t="shared" si="27"/>
        <v>0</v>
      </c>
      <c r="AV194" s="283">
        <f t="shared" si="28"/>
        <v>0</v>
      </c>
    </row>
    <row r="195" spans="1:48" ht="24" customHeight="1">
      <c r="A195" s="792">
        <f t="shared" si="29"/>
        <v>92</v>
      </c>
      <c r="B195" s="374" t="s">
        <v>5262</v>
      </c>
      <c r="C195" s="283">
        <v>271.2</v>
      </c>
      <c r="D195" s="374" t="s">
        <v>665</v>
      </c>
      <c r="H195" s="748" t="s">
        <v>1586</v>
      </c>
      <c r="O195" s="748" t="s">
        <v>1586</v>
      </c>
      <c r="Q195" s="374"/>
      <c r="S195" s="283"/>
      <c r="U195" s="748" t="s">
        <v>1586</v>
      </c>
      <c r="W195" s="744"/>
      <c r="AG195" s="374"/>
      <c r="AP195" s="748" t="s">
        <v>1586</v>
      </c>
      <c r="AR195" s="374"/>
      <c r="AU195" s="283">
        <f t="shared" si="27"/>
        <v>0</v>
      </c>
      <c r="AV195" s="283">
        <f t="shared" si="28"/>
        <v>0</v>
      </c>
    </row>
    <row r="196" spans="1:48" ht="24" customHeight="1">
      <c r="A196" s="792">
        <f t="shared" si="29"/>
        <v>93</v>
      </c>
      <c r="B196" s="374" t="s">
        <v>5263</v>
      </c>
      <c r="C196" s="283">
        <v>238.9</v>
      </c>
      <c r="D196" s="283">
        <v>96.11</v>
      </c>
      <c r="F196" s="283">
        <v>9</v>
      </c>
      <c r="G196" s="283" t="s">
        <v>869</v>
      </c>
      <c r="H196" s="374" t="s">
        <v>1638</v>
      </c>
      <c r="I196" s="283">
        <f>(C75)</f>
        <v>1163</v>
      </c>
      <c r="J196" s="374" t="s">
        <v>869</v>
      </c>
      <c r="K196" s="283">
        <f>(F196*I196)</f>
        <v>10467</v>
      </c>
      <c r="M196" s="283">
        <v>9</v>
      </c>
      <c r="N196" s="283" t="s">
        <v>869</v>
      </c>
      <c r="O196" s="374" t="s">
        <v>691</v>
      </c>
      <c r="P196" s="283">
        <f>(C74)</f>
        <v>1582.2</v>
      </c>
      <c r="Q196" s="374" t="s">
        <v>869</v>
      </c>
      <c r="R196" s="283">
        <f>(M196*P196)</f>
        <v>14239.8</v>
      </c>
      <c r="S196" s="283">
        <v>9</v>
      </c>
      <c r="T196" s="283" t="s">
        <v>869</v>
      </c>
      <c r="U196" s="374" t="s">
        <v>1638</v>
      </c>
      <c r="V196" s="283">
        <f>(C75)</f>
        <v>1163</v>
      </c>
      <c r="W196" s="744" t="s">
        <v>869</v>
      </c>
      <c r="X196" s="283">
        <f>(S196*V196)</f>
        <v>10467</v>
      </c>
      <c r="AG196" s="374"/>
      <c r="AN196" s="283">
        <v>0.7</v>
      </c>
      <c r="AO196" s="283" t="s">
        <v>869</v>
      </c>
      <c r="AP196" s="374" t="s">
        <v>2279</v>
      </c>
      <c r="AQ196" s="283">
        <f>AQ164</f>
        <v>6595</v>
      </c>
      <c r="AR196" s="374" t="s">
        <v>868</v>
      </c>
      <c r="AS196" s="283">
        <f>(AN196*AQ196)</f>
        <v>4616.5</v>
      </c>
      <c r="AU196" s="283">
        <f t="shared" si="27"/>
        <v>1047.48</v>
      </c>
      <c r="AV196" s="283">
        <f t="shared" si="28"/>
        <v>3569.02</v>
      </c>
    </row>
    <row r="197" spans="1:48" ht="24" customHeight="1">
      <c r="A197" s="792">
        <f t="shared" si="29"/>
        <v>94</v>
      </c>
      <c r="B197" s="374" t="s">
        <v>5264</v>
      </c>
      <c r="C197" s="283">
        <v>147.5</v>
      </c>
      <c r="D197" s="374" t="s">
        <v>665</v>
      </c>
      <c r="F197" s="283">
        <v>4.5</v>
      </c>
      <c r="G197" s="283" t="s">
        <v>869</v>
      </c>
      <c r="H197" s="374" t="s">
        <v>1625</v>
      </c>
      <c r="I197" s="283">
        <f>(K49)</f>
        <v>3929.58</v>
      </c>
      <c r="J197" s="374" t="s">
        <v>869</v>
      </c>
      <c r="K197" s="283">
        <f>(F197*I197)</f>
        <v>17683.11</v>
      </c>
      <c r="M197" s="283">
        <v>4.5</v>
      </c>
      <c r="N197" s="283" t="s">
        <v>869</v>
      </c>
      <c r="O197" s="374" t="s">
        <v>1353</v>
      </c>
      <c r="P197" s="283">
        <f>K32</f>
        <v>5089.26</v>
      </c>
      <c r="Q197" s="374" t="s">
        <v>869</v>
      </c>
      <c r="R197" s="283">
        <f>(M197*P197)</f>
        <v>22901.67</v>
      </c>
      <c r="S197" s="283">
        <v>4.5</v>
      </c>
      <c r="T197" s="283" t="s">
        <v>869</v>
      </c>
      <c r="U197" s="374" t="s">
        <v>1353</v>
      </c>
      <c r="V197" s="283">
        <f>P197</f>
        <v>5089.26</v>
      </c>
      <c r="W197" s="744" t="s">
        <v>869</v>
      </c>
      <c r="X197" s="283">
        <f>(S197*V197)</f>
        <v>22901.67</v>
      </c>
      <c r="AG197" s="374"/>
      <c r="AN197" s="283">
        <v>1</v>
      </c>
      <c r="AO197" s="283" t="s">
        <v>769</v>
      </c>
      <c r="AP197" s="374" t="s">
        <v>2009</v>
      </c>
      <c r="AQ197" s="283" t="str">
        <f>AQ182</f>
        <v xml:space="preserve"> </v>
      </c>
      <c r="AR197" s="374" t="s">
        <v>868</v>
      </c>
      <c r="AS197" s="283">
        <f>(AN197*AQ197)</f>
        <v>0</v>
      </c>
      <c r="AU197" s="283">
        <f t="shared" si="27"/>
        <v>0</v>
      </c>
      <c r="AV197" s="283">
        <f t="shared" si="28"/>
        <v>0</v>
      </c>
    </row>
    <row r="198" spans="1:48" ht="24" customHeight="1">
      <c r="A198" s="792">
        <f t="shared" si="29"/>
        <v>95</v>
      </c>
      <c r="B198" s="374" t="s">
        <v>837</v>
      </c>
      <c r="C198" s="283">
        <v>0.25</v>
      </c>
      <c r="D198" s="374" t="s">
        <v>868</v>
      </c>
      <c r="F198" s="283">
        <v>1.8</v>
      </c>
      <c r="G198" s="283" t="s">
        <v>868</v>
      </c>
      <c r="H198" s="374" t="s">
        <v>1712</v>
      </c>
      <c r="I198" s="283">
        <f>(C11)</f>
        <v>932</v>
      </c>
      <c r="J198" s="374" t="s">
        <v>868</v>
      </c>
      <c r="K198" s="283">
        <f>(F198*I198)</f>
        <v>1677.6</v>
      </c>
      <c r="M198" s="283">
        <v>1.8</v>
      </c>
      <c r="N198" s="283" t="s">
        <v>868</v>
      </c>
      <c r="O198" s="374" t="s">
        <v>1712</v>
      </c>
      <c r="P198" s="283">
        <f>I198</f>
        <v>932</v>
      </c>
      <c r="Q198" s="374" t="s">
        <v>868</v>
      </c>
      <c r="R198" s="283">
        <f>(M198*P198)</f>
        <v>1677.6</v>
      </c>
      <c r="S198" s="283">
        <v>1.8</v>
      </c>
      <c r="T198" s="283" t="s">
        <v>868</v>
      </c>
      <c r="U198" s="374" t="s">
        <v>1712</v>
      </c>
      <c r="V198" s="283">
        <f>P198</f>
        <v>932</v>
      </c>
      <c r="W198" s="744" t="s">
        <v>868</v>
      </c>
      <c r="X198" s="283">
        <f>(S198*V198)</f>
        <v>1677.6</v>
      </c>
      <c r="AG198" s="374"/>
      <c r="AO198" s="283" t="s">
        <v>449</v>
      </c>
      <c r="AP198" s="374" t="s">
        <v>450</v>
      </c>
      <c r="AQ198" s="374" t="s">
        <v>975</v>
      </c>
      <c r="AR198" s="374" t="s">
        <v>449</v>
      </c>
      <c r="AS198" s="283">
        <v>0</v>
      </c>
      <c r="AU198" s="283">
        <f t="shared" si="27"/>
        <v>0</v>
      </c>
      <c r="AV198" s="283">
        <f t="shared" si="28"/>
        <v>0</v>
      </c>
    </row>
    <row r="199" spans="1:48" ht="24" customHeight="1">
      <c r="A199" s="792">
        <f t="shared" si="29"/>
        <v>96</v>
      </c>
      <c r="B199" s="374" t="s">
        <v>5833</v>
      </c>
      <c r="C199" s="283">
        <v>40.65</v>
      </c>
      <c r="D199" s="374" t="s">
        <v>609</v>
      </c>
      <c r="F199" s="283">
        <v>17.7</v>
      </c>
      <c r="G199" s="283" t="s">
        <v>868</v>
      </c>
      <c r="H199" s="374" t="s">
        <v>1902</v>
      </c>
      <c r="I199" s="283">
        <f>(C12)</f>
        <v>651</v>
      </c>
      <c r="J199" s="374" t="s">
        <v>868</v>
      </c>
      <c r="K199" s="283">
        <f>(F199*I199)</f>
        <v>11522.7</v>
      </c>
      <c r="M199" s="283">
        <v>17.7</v>
      </c>
      <c r="N199" s="283" t="s">
        <v>868</v>
      </c>
      <c r="O199" s="374" t="s">
        <v>1902</v>
      </c>
      <c r="P199" s="283">
        <f>I199</f>
        <v>651</v>
      </c>
      <c r="Q199" s="374" t="s">
        <v>868</v>
      </c>
      <c r="R199" s="283">
        <f>(M199*P199)</f>
        <v>11522.7</v>
      </c>
      <c r="S199" s="283">
        <v>17.7</v>
      </c>
      <c r="T199" s="283" t="s">
        <v>868</v>
      </c>
      <c r="U199" s="374" t="s">
        <v>1902</v>
      </c>
      <c r="V199" s="283">
        <f>P199</f>
        <v>651</v>
      </c>
      <c r="W199" s="744" t="s">
        <v>868</v>
      </c>
      <c r="X199" s="283">
        <f>(S199*V199)</f>
        <v>11522.7</v>
      </c>
      <c r="AG199" s="374"/>
      <c r="AR199" s="374"/>
      <c r="AS199" s="748" t="s">
        <v>1586</v>
      </c>
      <c r="AU199" s="283">
        <f t="shared" si="27"/>
        <v>0</v>
      </c>
      <c r="AV199" s="283">
        <f t="shared" si="28"/>
        <v>0</v>
      </c>
    </row>
    <row r="200" spans="1:48" ht="24" customHeight="1">
      <c r="A200" s="792">
        <f t="shared" si="29"/>
        <v>97</v>
      </c>
      <c r="B200" s="374" t="s">
        <v>5834</v>
      </c>
      <c r="C200" s="283">
        <v>379.9</v>
      </c>
      <c r="D200" s="283">
        <v>116.55</v>
      </c>
      <c r="E200" s="374" t="s">
        <v>609</v>
      </c>
      <c r="F200" s="283">
        <v>14.1</v>
      </c>
      <c r="G200" s="283" t="s">
        <v>868</v>
      </c>
      <c r="H200" s="374" t="s">
        <v>320</v>
      </c>
      <c r="I200" s="283">
        <f>(C13)</f>
        <v>534</v>
      </c>
      <c r="J200" s="374" t="s">
        <v>868</v>
      </c>
      <c r="K200" s="283">
        <f>(F200*I200)</f>
        <v>7529.4</v>
      </c>
      <c r="M200" s="283">
        <v>14.1</v>
      </c>
      <c r="N200" s="283" t="s">
        <v>868</v>
      </c>
      <c r="O200" s="374" t="s">
        <v>320</v>
      </c>
      <c r="P200" s="283">
        <f>I200</f>
        <v>534</v>
      </c>
      <c r="Q200" s="374" t="s">
        <v>868</v>
      </c>
      <c r="R200" s="283">
        <f>(M200*P200)</f>
        <v>7529.4</v>
      </c>
      <c r="S200" s="283">
        <v>14.1</v>
      </c>
      <c r="T200" s="283" t="s">
        <v>868</v>
      </c>
      <c r="U200" s="374" t="s">
        <v>320</v>
      </c>
      <c r="V200" s="283">
        <f>P200</f>
        <v>534</v>
      </c>
      <c r="W200" s="744" t="s">
        <v>868</v>
      </c>
      <c r="X200" s="283">
        <f>(S200*V200)</f>
        <v>7529.4</v>
      </c>
      <c r="AG200" s="374"/>
      <c r="AP200" s="374" t="s">
        <v>441</v>
      </c>
      <c r="AR200" s="374"/>
      <c r="AS200" s="751">
        <f>SUM(AS196:AS198)</f>
        <v>4616.5</v>
      </c>
      <c r="AU200" s="283">
        <f t="shared" si="27"/>
        <v>1047.48</v>
      </c>
      <c r="AV200" s="283">
        <f t="shared" si="28"/>
        <v>3569.02</v>
      </c>
    </row>
    <row r="201" spans="1:48" ht="24" customHeight="1">
      <c r="A201" s="792">
        <f t="shared" si="29"/>
        <v>98</v>
      </c>
      <c r="B201" s="374" t="s">
        <v>5835</v>
      </c>
      <c r="C201" s="283">
        <v>183.8</v>
      </c>
      <c r="D201" s="374" t="s">
        <v>769</v>
      </c>
      <c r="G201" s="283" t="s">
        <v>449</v>
      </c>
      <c r="H201" s="374" t="s">
        <v>450</v>
      </c>
      <c r="J201" s="374" t="s">
        <v>449</v>
      </c>
      <c r="K201" s="283">
        <v>0</v>
      </c>
      <c r="N201" s="283" t="s">
        <v>449</v>
      </c>
      <c r="O201" s="374" t="s">
        <v>450</v>
      </c>
      <c r="Q201" s="374" t="s">
        <v>449</v>
      </c>
      <c r="R201" s="283">
        <v>0</v>
      </c>
      <c r="S201" s="283"/>
      <c r="T201" s="283" t="s">
        <v>449</v>
      </c>
      <c r="U201" s="374" t="s">
        <v>450</v>
      </c>
      <c r="W201" s="744" t="s">
        <v>449</v>
      </c>
      <c r="X201" s="283">
        <v>0</v>
      </c>
      <c r="AG201" s="374"/>
      <c r="AR201" s="374"/>
      <c r="AS201" s="748" t="s">
        <v>1586</v>
      </c>
      <c r="AU201" s="283">
        <f t="shared" si="27"/>
        <v>0</v>
      </c>
      <c r="AV201" s="283">
        <f t="shared" si="28"/>
        <v>0</v>
      </c>
    </row>
    <row r="202" spans="1:48" ht="24" customHeight="1">
      <c r="A202" s="792">
        <f t="shared" si="29"/>
        <v>99</v>
      </c>
      <c r="B202" s="374" t="s">
        <v>5836</v>
      </c>
      <c r="C202" s="283">
        <v>1201</v>
      </c>
      <c r="D202" s="374" t="s">
        <v>769</v>
      </c>
      <c r="K202" s="748" t="s">
        <v>1586</v>
      </c>
      <c r="Q202" s="374"/>
      <c r="R202" s="748" t="s">
        <v>1586</v>
      </c>
      <c r="S202" s="283"/>
      <c r="W202" s="744"/>
      <c r="X202" s="748" t="s">
        <v>1586</v>
      </c>
      <c r="AG202" s="374"/>
      <c r="AP202" s="374" t="s">
        <v>552</v>
      </c>
      <c r="AR202" s="374"/>
      <c r="AS202" s="283">
        <f>(AS200/10)</f>
        <v>461.65</v>
      </c>
      <c r="AU202" s="283">
        <f t="shared" si="27"/>
        <v>104.75</v>
      </c>
      <c r="AV202" s="283">
        <f t="shared" si="28"/>
        <v>356.9</v>
      </c>
    </row>
    <row r="203" spans="1:48" ht="24" customHeight="1">
      <c r="A203" s="792">
        <f t="shared" si="29"/>
        <v>100</v>
      </c>
      <c r="B203" s="374" t="s">
        <v>1149</v>
      </c>
      <c r="C203" s="283">
        <v>47.2</v>
      </c>
      <c r="D203" s="374" t="s">
        <v>769</v>
      </c>
      <c r="K203" s="283">
        <f>SUM(K196:K201)</f>
        <v>48879.81</v>
      </c>
      <c r="Q203" s="374"/>
      <c r="R203" s="283">
        <f>SUM(R196:R201)</f>
        <v>57871.17</v>
      </c>
      <c r="S203" s="283"/>
      <c r="W203" s="744"/>
      <c r="X203" s="283">
        <f>SUM(X196:X201)</f>
        <v>54098.37</v>
      </c>
      <c r="AG203" s="374"/>
      <c r="AR203" s="374"/>
      <c r="AS203" s="748" t="s">
        <v>2055</v>
      </c>
      <c r="AU203" s="283">
        <f t="shared" si="27"/>
        <v>0</v>
      </c>
      <c r="AV203" s="283">
        <f t="shared" si="28"/>
        <v>0</v>
      </c>
    </row>
    <row r="204" spans="1:48" ht="24" customHeight="1">
      <c r="A204" s="792">
        <f t="shared" si="29"/>
        <v>101</v>
      </c>
      <c r="B204" s="374" t="s">
        <v>5837</v>
      </c>
      <c r="C204" s="283">
        <v>128</v>
      </c>
      <c r="D204" s="374" t="s">
        <v>769</v>
      </c>
      <c r="E204" s="283">
        <v>166.15</v>
      </c>
      <c r="H204" s="744" t="s">
        <v>614</v>
      </c>
      <c r="K204" s="748" t="s">
        <v>1586</v>
      </c>
      <c r="O204" s="374" t="s">
        <v>614</v>
      </c>
      <c r="Q204" s="374"/>
      <c r="R204" s="748" t="s">
        <v>1586</v>
      </c>
      <c r="S204" s="283"/>
      <c r="U204" s="374" t="s">
        <v>614</v>
      </c>
      <c r="W204" s="744"/>
      <c r="X204" s="748" t="s">
        <v>1586</v>
      </c>
      <c r="AG204" s="374"/>
      <c r="AP204" s="374" t="s">
        <v>386</v>
      </c>
      <c r="AR204" s="374">
        <f>AS204-AS202</f>
        <v>18.04</v>
      </c>
      <c r="AS204" s="751">
        <f>(AS202+C35/10*AN196)</f>
        <v>479.69</v>
      </c>
      <c r="AU204" s="283">
        <f t="shared" si="27"/>
        <v>108.84</v>
      </c>
      <c r="AV204" s="283">
        <f t="shared" si="28"/>
        <v>370.85</v>
      </c>
    </row>
    <row r="205" spans="1:48" ht="24" customHeight="1">
      <c r="A205" s="792">
        <f t="shared" si="29"/>
        <v>102</v>
      </c>
      <c r="B205" s="374" t="s">
        <v>5838</v>
      </c>
      <c r="C205" s="283">
        <v>63.4</v>
      </c>
      <c r="D205" s="374" t="s">
        <v>769</v>
      </c>
      <c r="K205" s="751">
        <f>(K203/10)</f>
        <v>4887.9799999999996</v>
      </c>
      <c r="Q205" s="374"/>
      <c r="R205" s="283">
        <f>(R203/10)</f>
        <v>5787.12</v>
      </c>
      <c r="S205" s="283"/>
      <c r="W205" s="744"/>
      <c r="X205" s="283">
        <f>(X203/10)</f>
        <v>5409.84</v>
      </c>
      <c r="AP205" s="374" t="s">
        <v>388</v>
      </c>
      <c r="AR205" s="374">
        <f>AS205-AS204</f>
        <v>0</v>
      </c>
      <c r="AS205" s="751">
        <f>(AS204+C36/10*AN196)</f>
        <v>479.69</v>
      </c>
      <c r="AU205" s="283">
        <f t="shared" si="27"/>
        <v>108.84</v>
      </c>
      <c r="AV205" s="283">
        <f t="shared" si="28"/>
        <v>370.85</v>
      </c>
    </row>
    <row r="206" spans="1:48" ht="24" customHeight="1">
      <c r="A206" s="792">
        <f t="shared" si="29"/>
        <v>103</v>
      </c>
      <c r="B206" s="374" t="s">
        <v>621</v>
      </c>
      <c r="C206" s="283">
        <v>102</v>
      </c>
      <c r="D206" s="374" t="s">
        <v>769</v>
      </c>
      <c r="H206" s="757" t="s">
        <v>773</v>
      </c>
      <c r="K206" s="748" t="s">
        <v>2055</v>
      </c>
      <c r="O206" s="374" t="s">
        <v>773</v>
      </c>
      <c r="Q206" s="374"/>
      <c r="R206" s="748" t="s">
        <v>2055</v>
      </c>
      <c r="S206" s="283"/>
      <c r="U206" s="374" t="s">
        <v>773</v>
      </c>
      <c r="W206" s="744"/>
      <c r="X206" s="748" t="s">
        <v>2055</v>
      </c>
      <c r="AP206" s="374" t="s">
        <v>2232</v>
      </c>
      <c r="AR206" s="374">
        <f>AS206-AS205</f>
        <v>0</v>
      </c>
      <c r="AS206" s="751">
        <f>(AS205+C37/10*AN196)</f>
        <v>479.69</v>
      </c>
      <c r="AU206" s="283">
        <f t="shared" si="27"/>
        <v>108.84</v>
      </c>
      <c r="AV206" s="283">
        <f t="shared" si="28"/>
        <v>370.85</v>
      </c>
    </row>
    <row r="207" spans="1:48" ht="24" customHeight="1">
      <c r="A207" s="792">
        <f t="shared" si="29"/>
        <v>104</v>
      </c>
      <c r="B207" s="374" t="s">
        <v>5839</v>
      </c>
      <c r="C207" s="283">
        <v>101.6</v>
      </c>
      <c r="D207" s="374" t="s">
        <v>769</v>
      </c>
      <c r="E207" s="283">
        <v>140.65</v>
      </c>
      <c r="W207" s="744"/>
      <c r="AG207" s="374"/>
      <c r="AP207" s="374" t="s">
        <v>380</v>
      </c>
      <c r="AR207" s="374">
        <f>AS207-AS206</f>
        <v>0</v>
      </c>
      <c r="AS207" s="751">
        <f>(AS206+C37/10*AN196)</f>
        <v>479.69</v>
      </c>
      <c r="AU207" s="283">
        <f t="shared" si="27"/>
        <v>108.84</v>
      </c>
      <c r="AV207" s="283">
        <f t="shared" si="28"/>
        <v>370.85</v>
      </c>
    </row>
    <row r="208" spans="1:48" ht="24" customHeight="1">
      <c r="A208" s="792">
        <f t="shared" si="29"/>
        <v>105</v>
      </c>
      <c r="B208" s="374" t="s">
        <v>5265</v>
      </c>
      <c r="C208" s="283">
        <v>227.6</v>
      </c>
      <c r="D208" s="374" t="s">
        <v>686</v>
      </c>
      <c r="F208" s="744" t="s">
        <v>687</v>
      </c>
      <c r="G208" s="283" t="s">
        <v>2251</v>
      </c>
      <c r="H208" s="374" t="s">
        <v>6081</v>
      </c>
      <c r="W208" s="744"/>
      <c r="AP208" s="374" t="s">
        <v>833</v>
      </c>
      <c r="AR208" s="374">
        <f>AS208-AS207</f>
        <v>0</v>
      </c>
      <c r="AS208" s="751">
        <f>(AS207+C37/10*AN196)</f>
        <v>479.69</v>
      </c>
      <c r="AU208" s="283">
        <f t="shared" si="27"/>
        <v>108.84</v>
      </c>
      <c r="AV208" s="283">
        <f t="shared" si="28"/>
        <v>370.85</v>
      </c>
    </row>
    <row r="209" spans="1:48" ht="24" customHeight="1">
      <c r="A209" s="792">
        <f t="shared" si="29"/>
        <v>106</v>
      </c>
      <c r="B209" s="374" t="s">
        <v>5840</v>
      </c>
      <c r="C209" s="283">
        <v>166.15</v>
      </c>
      <c r="D209" s="374" t="s">
        <v>769</v>
      </c>
      <c r="H209" s="374" t="s">
        <v>1487</v>
      </c>
      <c r="N209" s="374" t="s">
        <v>689</v>
      </c>
      <c r="O209" s="374" t="s">
        <v>690</v>
      </c>
      <c r="W209" s="744"/>
      <c r="AU209" s="283">
        <f t="shared" si="27"/>
        <v>0</v>
      </c>
      <c r="AV209" s="283">
        <f t="shared" si="28"/>
        <v>0</v>
      </c>
    </row>
    <row r="210" spans="1:48" ht="24" customHeight="1">
      <c r="H210" s="748" t="s">
        <v>1586</v>
      </c>
      <c r="O210" s="748" t="s">
        <v>1586</v>
      </c>
      <c r="W210" s="744"/>
      <c r="AU210" s="283">
        <f t="shared" si="27"/>
        <v>0</v>
      </c>
      <c r="AV210" s="283">
        <f t="shared" si="28"/>
        <v>0</v>
      </c>
    </row>
    <row r="211" spans="1:48" ht="24" customHeight="1">
      <c r="F211" s="283">
        <v>9</v>
      </c>
      <c r="G211" s="283" t="s">
        <v>869</v>
      </c>
      <c r="H211" s="374" t="s">
        <v>691</v>
      </c>
      <c r="I211" s="283">
        <f>C74</f>
        <v>1582.2</v>
      </c>
      <c r="J211" s="374" t="s">
        <v>869</v>
      </c>
      <c r="K211" s="283">
        <f>(F211*I211)</f>
        <v>14239.8</v>
      </c>
      <c r="M211" s="782">
        <v>1.153E-2</v>
      </c>
      <c r="N211" s="374" t="s">
        <v>869</v>
      </c>
      <c r="O211" s="374" t="s">
        <v>692</v>
      </c>
      <c r="P211" s="283">
        <f>C89</f>
        <v>111600</v>
      </c>
      <c r="Q211" s="374" t="s">
        <v>869</v>
      </c>
      <c r="R211" s="283">
        <f t="shared" ref="R211:R220" si="30">(M211*P211)</f>
        <v>1286.75</v>
      </c>
      <c r="W211" s="744"/>
      <c r="AU211" s="283">
        <f t="shared" si="27"/>
        <v>0</v>
      </c>
      <c r="AV211" s="283">
        <f t="shared" si="28"/>
        <v>0</v>
      </c>
    </row>
    <row r="212" spans="1:48" ht="24" customHeight="1">
      <c r="F212" s="283">
        <v>4.5</v>
      </c>
      <c r="G212" s="283" t="s">
        <v>869</v>
      </c>
      <c r="H212" s="374" t="s">
        <v>119</v>
      </c>
      <c r="I212" s="283">
        <f>K23</f>
        <v>6538.86</v>
      </c>
      <c r="J212" s="374" t="s">
        <v>869</v>
      </c>
      <c r="K212" s="283">
        <f>(F212*I212)</f>
        <v>29424.87</v>
      </c>
      <c r="M212" s="782">
        <v>1.013E-2</v>
      </c>
      <c r="N212" s="374" t="s">
        <v>869</v>
      </c>
      <c r="O212" s="374" t="s">
        <v>693</v>
      </c>
      <c r="P212" s="283">
        <f>C90</f>
        <v>99400</v>
      </c>
      <c r="Q212" s="374" t="s">
        <v>869</v>
      </c>
      <c r="R212" s="283">
        <f t="shared" si="30"/>
        <v>1006.92</v>
      </c>
      <c r="W212" s="744"/>
      <c r="AU212" s="283">
        <f t="shared" si="27"/>
        <v>0</v>
      </c>
      <c r="AV212" s="283">
        <f t="shared" si="28"/>
        <v>0</v>
      </c>
    </row>
    <row r="213" spans="1:48" ht="24" customHeight="1">
      <c r="F213" s="283">
        <v>1.8</v>
      </c>
      <c r="G213" s="283" t="s">
        <v>868</v>
      </c>
      <c r="H213" s="374" t="s">
        <v>1712</v>
      </c>
      <c r="I213" s="283">
        <f>C11</f>
        <v>932</v>
      </c>
      <c r="J213" s="374" t="s">
        <v>868</v>
      </c>
      <c r="K213" s="283">
        <f>(F213*I213)</f>
        <v>1677.6</v>
      </c>
      <c r="M213" s="782">
        <v>0.77780000000000005</v>
      </c>
      <c r="N213" s="374" t="s">
        <v>609</v>
      </c>
      <c r="O213" s="374" t="s">
        <v>2091</v>
      </c>
      <c r="P213" s="283">
        <f>C784</f>
        <v>387.4</v>
      </c>
      <c r="Q213" s="374" t="s">
        <v>609</v>
      </c>
      <c r="R213" s="283">
        <f t="shared" si="30"/>
        <v>301.32</v>
      </c>
      <c r="W213" s="744"/>
      <c r="AU213" s="283">
        <f t="shared" si="27"/>
        <v>0</v>
      </c>
      <c r="AV213" s="283">
        <f t="shared" si="28"/>
        <v>0</v>
      </c>
    </row>
    <row r="214" spans="1:48" ht="24" customHeight="1">
      <c r="F214" s="283">
        <v>17.7</v>
      </c>
      <c r="G214" s="283" t="s">
        <v>868</v>
      </c>
      <c r="H214" s="374" t="s">
        <v>1902</v>
      </c>
      <c r="I214" s="283">
        <f>C12</f>
        <v>651</v>
      </c>
      <c r="J214" s="374" t="s">
        <v>868</v>
      </c>
      <c r="K214" s="283">
        <f>(F214*I214)</f>
        <v>11522.7</v>
      </c>
      <c r="M214" s="782">
        <v>1.23</v>
      </c>
      <c r="N214" s="374" t="s">
        <v>609</v>
      </c>
      <c r="O214" s="374" t="s">
        <v>2092</v>
      </c>
      <c r="P214" s="283">
        <f>D30</f>
        <v>1281</v>
      </c>
      <c r="Q214" s="374" t="s">
        <v>609</v>
      </c>
      <c r="R214" s="283">
        <f t="shared" si="30"/>
        <v>1575.63</v>
      </c>
      <c r="W214" s="744"/>
      <c r="AU214" s="283">
        <f t="shared" si="27"/>
        <v>0</v>
      </c>
      <c r="AV214" s="283">
        <f t="shared" si="28"/>
        <v>0</v>
      </c>
    </row>
    <row r="215" spans="1:48" ht="24" customHeight="1">
      <c r="F215" s="283">
        <v>14.1</v>
      </c>
      <c r="G215" s="283" t="s">
        <v>868</v>
      </c>
      <c r="H215" s="374" t="s">
        <v>320</v>
      </c>
      <c r="I215" s="283">
        <f>C13</f>
        <v>534</v>
      </c>
      <c r="J215" s="374" t="s">
        <v>868</v>
      </c>
      <c r="K215" s="283">
        <f>(F215*I215)</f>
        <v>7529.4</v>
      </c>
      <c r="M215" s="283">
        <v>2</v>
      </c>
      <c r="N215" s="374" t="s">
        <v>868</v>
      </c>
      <c r="O215" s="374" t="s">
        <v>2093</v>
      </c>
      <c r="P215" s="283">
        <f>C285</f>
        <v>64.8</v>
      </c>
      <c r="Q215" s="374" t="s">
        <v>868</v>
      </c>
      <c r="R215" s="283">
        <f t="shared" si="30"/>
        <v>129.6</v>
      </c>
      <c r="W215" s="744"/>
      <c r="AU215" s="283">
        <f t="shared" si="27"/>
        <v>0</v>
      </c>
      <c r="AV215" s="283">
        <f t="shared" si="28"/>
        <v>0</v>
      </c>
    </row>
    <row r="216" spans="1:48" ht="24" customHeight="1">
      <c r="G216" s="283" t="s">
        <v>449</v>
      </c>
      <c r="H216" s="374" t="s">
        <v>450</v>
      </c>
      <c r="J216" s="374" t="s">
        <v>449</v>
      </c>
      <c r="K216" s="283">
        <v>0</v>
      </c>
      <c r="M216" s="283">
        <v>3</v>
      </c>
      <c r="N216" s="374" t="s">
        <v>868</v>
      </c>
      <c r="O216" s="374" t="s">
        <v>2094</v>
      </c>
      <c r="P216" s="283">
        <f>C280</f>
        <v>89.6</v>
      </c>
      <c r="Q216" s="374" t="s">
        <v>868</v>
      </c>
      <c r="R216" s="283">
        <f t="shared" si="30"/>
        <v>268.8</v>
      </c>
      <c r="W216" s="744"/>
      <c r="AU216" s="283">
        <f t="shared" si="27"/>
        <v>0</v>
      </c>
      <c r="AV216" s="283">
        <f t="shared" si="28"/>
        <v>0</v>
      </c>
    </row>
    <row r="217" spans="1:48" ht="24" customHeight="1">
      <c r="K217" s="748" t="s">
        <v>1586</v>
      </c>
      <c r="M217" s="283">
        <v>1</v>
      </c>
      <c r="N217" s="374" t="s">
        <v>868</v>
      </c>
      <c r="O217" s="374" t="s">
        <v>1979</v>
      </c>
      <c r="P217" s="283">
        <f>C287</f>
        <v>181</v>
      </c>
      <c r="Q217" s="374" t="s">
        <v>868</v>
      </c>
      <c r="R217" s="283">
        <f t="shared" si="30"/>
        <v>181</v>
      </c>
      <c r="T217" s="283">
        <v>0</v>
      </c>
      <c r="W217" s="744"/>
      <c r="AU217" s="283">
        <f t="shared" si="27"/>
        <v>0</v>
      </c>
      <c r="AV217" s="283">
        <f t="shared" si="28"/>
        <v>0</v>
      </c>
    </row>
    <row r="218" spans="1:48" ht="24" customHeight="1">
      <c r="K218" s="283">
        <f>SUM(K211:K216)</f>
        <v>64394.37</v>
      </c>
      <c r="M218" s="283">
        <v>1</v>
      </c>
      <c r="N218" s="374" t="s">
        <v>868</v>
      </c>
      <c r="O218" s="374" t="s">
        <v>1980</v>
      </c>
      <c r="P218" s="283">
        <f>C289</f>
        <v>7.3</v>
      </c>
      <c r="Q218" s="374" t="s">
        <v>868</v>
      </c>
      <c r="R218" s="283">
        <f t="shared" si="30"/>
        <v>7.3</v>
      </c>
      <c r="W218" s="744"/>
      <c r="AU218" s="283">
        <f t="shared" si="27"/>
        <v>0</v>
      </c>
      <c r="AV218" s="283">
        <f t="shared" si="28"/>
        <v>0</v>
      </c>
    </row>
    <row r="219" spans="1:48" ht="24" customHeight="1">
      <c r="H219" s="374" t="s">
        <v>614</v>
      </c>
      <c r="K219" s="748" t="s">
        <v>1586</v>
      </c>
      <c r="M219" s="283">
        <v>1</v>
      </c>
      <c r="N219" s="374" t="s">
        <v>868</v>
      </c>
      <c r="O219" s="374" t="s">
        <v>3529</v>
      </c>
      <c r="P219" s="283">
        <f>C599</f>
        <v>57.65</v>
      </c>
      <c r="Q219" s="374" t="s">
        <v>868</v>
      </c>
      <c r="R219" s="283">
        <f t="shared" si="30"/>
        <v>57.65</v>
      </c>
      <c r="W219" s="744"/>
    </row>
    <row r="220" spans="1:48" ht="24" customHeight="1">
      <c r="K220" s="751">
        <f>(K218/10)</f>
        <v>6439.44</v>
      </c>
      <c r="M220" s="283">
        <v>1</v>
      </c>
      <c r="N220" s="374" t="s">
        <v>868</v>
      </c>
      <c r="O220" s="374" t="s">
        <v>1982</v>
      </c>
      <c r="P220" s="283">
        <f>D599</f>
        <v>49.55</v>
      </c>
      <c r="Q220" s="374" t="s">
        <v>868</v>
      </c>
      <c r="R220" s="283">
        <f t="shared" si="30"/>
        <v>49.55</v>
      </c>
      <c r="W220" s="744"/>
    </row>
    <row r="221" spans="1:48" ht="24" customHeight="1">
      <c r="H221" s="757" t="s">
        <v>773</v>
      </c>
      <c r="K221" s="748" t="s">
        <v>2055</v>
      </c>
      <c r="R221" s="748" t="s">
        <v>1586</v>
      </c>
      <c r="W221" s="744"/>
    </row>
    <row r="222" spans="1:48" ht="24" customHeight="1">
      <c r="O222" s="744" t="s">
        <v>1983</v>
      </c>
      <c r="R222" s="283">
        <f>SUM(R211:R220)</f>
        <v>4864.5200000000004</v>
      </c>
      <c r="W222" s="744"/>
    </row>
    <row r="223" spans="1:48" ht="24" customHeight="1">
      <c r="F223" s="744" t="s">
        <v>2071</v>
      </c>
      <c r="G223" s="283" t="s">
        <v>2251</v>
      </c>
      <c r="H223" s="374" t="s">
        <v>6082</v>
      </c>
      <c r="N223" s="374" t="s">
        <v>975</v>
      </c>
      <c r="R223" s="748" t="s">
        <v>1586</v>
      </c>
      <c r="W223" s="744"/>
    </row>
    <row r="224" spans="1:48" ht="24" customHeight="1">
      <c r="H224" s="374" t="s">
        <v>2072</v>
      </c>
      <c r="M224" s="374" t="s">
        <v>975</v>
      </c>
      <c r="W224" s="744"/>
    </row>
    <row r="225" spans="6:23" ht="24" customHeight="1">
      <c r="H225" s="748" t="s">
        <v>1586</v>
      </c>
      <c r="O225" s="744" t="s">
        <v>552</v>
      </c>
      <c r="R225" s="283">
        <f>R222/M214</f>
        <v>3954.89</v>
      </c>
      <c r="W225" s="744"/>
    </row>
    <row r="226" spans="6:23" ht="24" customHeight="1">
      <c r="F226" s="283">
        <v>9</v>
      </c>
      <c r="G226" s="283" t="s">
        <v>869</v>
      </c>
      <c r="H226" s="374" t="s">
        <v>1810</v>
      </c>
      <c r="I226" s="283">
        <f>AC20</f>
        <v>893.26</v>
      </c>
      <c r="J226" s="374" t="s">
        <v>869</v>
      </c>
      <c r="K226" s="283">
        <f>(F226*I226)</f>
        <v>8039.34</v>
      </c>
      <c r="M226" s="374" t="s">
        <v>321</v>
      </c>
      <c r="W226" s="744"/>
    </row>
    <row r="227" spans="6:23" ht="24" customHeight="1">
      <c r="F227" s="283">
        <v>4.5</v>
      </c>
      <c r="G227" s="283" t="s">
        <v>869</v>
      </c>
      <c r="H227" s="374" t="s">
        <v>1632</v>
      </c>
      <c r="I227" s="283">
        <f>K78</f>
        <v>3277.26</v>
      </c>
      <c r="J227" s="374" t="s">
        <v>869</v>
      </c>
      <c r="K227" s="283">
        <f>(F227*I227)</f>
        <v>14747.67</v>
      </c>
      <c r="W227" s="744"/>
    </row>
    <row r="228" spans="6:23" ht="24" customHeight="1">
      <c r="F228" s="283">
        <v>1.8</v>
      </c>
      <c r="G228" s="283" t="s">
        <v>868</v>
      </c>
      <c r="H228" s="374" t="s">
        <v>1712</v>
      </c>
      <c r="I228" s="283">
        <f>C11</f>
        <v>932</v>
      </c>
      <c r="J228" s="374" t="s">
        <v>868</v>
      </c>
      <c r="K228" s="283">
        <f>(F228*I228)</f>
        <v>1677.6</v>
      </c>
      <c r="W228" s="744"/>
    </row>
    <row r="229" spans="6:23" ht="24" customHeight="1">
      <c r="F229" s="283">
        <v>17.7</v>
      </c>
      <c r="G229" s="283" t="s">
        <v>868</v>
      </c>
      <c r="H229" s="374" t="s">
        <v>1902</v>
      </c>
      <c r="I229" s="283">
        <f>C12</f>
        <v>651</v>
      </c>
      <c r="J229" s="374" t="s">
        <v>868</v>
      </c>
      <c r="K229" s="283">
        <f>(F229*I229)</f>
        <v>11522.7</v>
      </c>
      <c r="M229" s="744" t="s">
        <v>2071</v>
      </c>
      <c r="N229" s="283" t="s">
        <v>2251</v>
      </c>
      <c r="O229" s="374" t="s">
        <v>6083</v>
      </c>
      <c r="Q229" s="374"/>
      <c r="W229" s="744"/>
    </row>
    <row r="230" spans="6:23" ht="24" customHeight="1">
      <c r="F230" s="283">
        <v>14.1</v>
      </c>
      <c r="G230" s="283" t="s">
        <v>868</v>
      </c>
      <c r="H230" s="374" t="s">
        <v>320</v>
      </c>
      <c r="I230" s="283">
        <f>C13</f>
        <v>534</v>
      </c>
      <c r="J230" s="374" t="s">
        <v>868</v>
      </c>
      <c r="K230" s="283">
        <f>(F230*I230)</f>
        <v>7529.4</v>
      </c>
      <c r="O230" s="374" t="s">
        <v>3909</v>
      </c>
      <c r="Q230" s="374"/>
      <c r="W230" s="744"/>
    </row>
    <row r="231" spans="6:23" ht="24" customHeight="1">
      <c r="G231" s="283" t="s">
        <v>449</v>
      </c>
      <c r="H231" s="374" t="s">
        <v>450</v>
      </c>
      <c r="J231" s="374" t="s">
        <v>449</v>
      </c>
      <c r="K231" s="283">
        <v>0</v>
      </c>
      <c r="O231" s="748" t="s">
        <v>1586</v>
      </c>
      <c r="Q231" s="374"/>
      <c r="W231" s="744"/>
    </row>
    <row r="232" spans="6:23" ht="24" customHeight="1">
      <c r="K232" s="748" t="s">
        <v>1586</v>
      </c>
      <c r="M232" s="283">
        <v>9</v>
      </c>
      <c r="N232" s="283" t="s">
        <v>869</v>
      </c>
      <c r="O232" s="374" t="s">
        <v>2274</v>
      </c>
      <c r="P232" s="283">
        <f>AC15</f>
        <v>1163</v>
      </c>
      <c r="Q232" s="374" t="s">
        <v>869</v>
      </c>
      <c r="R232" s="283">
        <f>(M232*P232)</f>
        <v>10467</v>
      </c>
      <c r="W232" s="744"/>
    </row>
    <row r="233" spans="6:23" ht="24" customHeight="1">
      <c r="K233" s="283">
        <f>SUM(K226:K231)</f>
        <v>43516.71</v>
      </c>
      <c r="M233" s="283">
        <v>4.5</v>
      </c>
      <c r="N233" s="283" t="s">
        <v>869</v>
      </c>
      <c r="O233" s="374" t="s">
        <v>1307</v>
      </c>
      <c r="P233" s="283">
        <f>K40</f>
        <v>4364.46</v>
      </c>
      <c r="Q233" s="374" t="s">
        <v>869</v>
      </c>
      <c r="R233" s="283">
        <f>(M233*P233)</f>
        <v>19640.07</v>
      </c>
      <c r="W233" s="744"/>
    </row>
    <row r="234" spans="6:23" ht="24" customHeight="1">
      <c r="H234" s="374" t="s">
        <v>614</v>
      </c>
      <c r="K234" s="748" t="s">
        <v>1586</v>
      </c>
      <c r="M234" s="283">
        <v>1.8</v>
      </c>
      <c r="N234" s="283" t="s">
        <v>868</v>
      </c>
      <c r="O234" s="374" t="s">
        <v>1712</v>
      </c>
      <c r="P234" s="283">
        <f>I228</f>
        <v>932</v>
      </c>
      <c r="Q234" s="374" t="s">
        <v>868</v>
      </c>
      <c r="R234" s="283">
        <f>(M234*P234)</f>
        <v>1677.6</v>
      </c>
      <c r="W234" s="744"/>
    </row>
    <row r="235" spans="6:23" ht="24" customHeight="1">
      <c r="K235" s="751">
        <f>(K233/10)</f>
        <v>4351.67</v>
      </c>
      <c r="M235" s="283">
        <v>17.7</v>
      </c>
      <c r="N235" s="283" t="s">
        <v>868</v>
      </c>
      <c r="O235" s="374" t="s">
        <v>1902</v>
      </c>
      <c r="P235" s="283">
        <f>I229</f>
        <v>651</v>
      </c>
      <c r="Q235" s="374" t="s">
        <v>868</v>
      </c>
      <c r="R235" s="283">
        <f>(M235*P235)</f>
        <v>11522.7</v>
      </c>
      <c r="W235" s="744"/>
    </row>
    <row r="236" spans="6:23" ht="24" customHeight="1">
      <c r="H236" s="757" t="s">
        <v>773</v>
      </c>
      <c r="K236" s="748" t="s">
        <v>2055</v>
      </c>
      <c r="M236" s="283">
        <v>14.1</v>
      </c>
      <c r="N236" s="283" t="s">
        <v>868</v>
      </c>
      <c r="O236" s="374" t="s">
        <v>320</v>
      </c>
      <c r="P236" s="283">
        <f>I230</f>
        <v>534</v>
      </c>
      <c r="Q236" s="374" t="s">
        <v>868</v>
      </c>
      <c r="R236" s="283">
        <f>(M236*P236)</f>
        <v>7529.4</v>
      </c>
      <c r="W236" s="744"/>
    </row>
    <row r="237" spans="6:23" ht="24" customHeight="1">
      <c r="N237" s="283" t="s">
        <v>449</v>
      </c>
      <c r="O237" s="374" t="s">
        <v>450</v>
      </c>
      <c r="Q237" s="374" t="s">
        <v>449</v>
      </c>
      <c r="R237" s="283">
        <v>0</v>
      </c>
      <c r="W237" s="744"/>
    </row>
    <row r="238" spans="6:23" ht="24" customHeight="1">
      <c r="Q238" s="374"/>
      <c r="R238" s="748" t="s">
        <v>1586</v>
      </c>
      <c r="W238" s="744"/>
    </row>
    <row r="239" spans="6:23" ht="24" customHeight="1">
      <c r="F239" s="765">
        <v>3.6</v>
      </c>
      <c r="H239" s="374" t="s">
        <v>6084</v>
      </c>
      <c r="Q239" s="374"/>
      <c r="R239" s="283">
        <f>SUM(R232:R237)</f>
        <v>50836.77</v>
      </c>
      <c r="W239" s="744"/>
    </row>
    <row r="240" spans="6:23" ht="24" customHeight="1">
      <c r="H240" s="374" t="s">
        <v>641</v>
      </c>
      <c r="O240" s="374" t="s">
        <v>614</v>
      </c>
      <c r="Q240" s="374"/>
      <c r="R240" s="748" t="s">
        <v>1586</v>
      </c>
      <c r="W240" s="744"/>
    </row>
    <row r="241" spans="6:23" ht="24" customHeight="1">
      <c r="H241" s="748" t="s">
        <v>2055</v>
      </c>
      <c r="Q241" s="374"/>
      <c r="R241" s="751">
        <f>(R239/10)</f>
        <v>5083.68</v>
      </c>
      <c r="W241" s="744"/>
    </row>
    <row r="242" spans="6:23" ht="24" customHeight="1">
      <c r="F242" s="283">
        <v>1.25</v>
      </c>
      <c r="G242" s="283" t="s">
        <v>1341</v>
      </c>
      <c r="H242" s="374" t="s">
        <v>1504</v>
      </c>
      <c r="I242" s="283">
        <f>C813</f>
        <v>3.15</v>
      </c>
      <c r="J242" s="374" t="s">
        <v>1341</v>
      </c>
      <c r="K242" s="283">
        <f>(F242*I242)</f>
        <v>3.94</v>
      </c>
      <c r="O242" s="757" t="s">
        <v>773</v>
      </c>
      <c r="Q242" s="374"/>
      <c r="R242" s="748" t="s">
        <v>2055</v>
      </c>
      <c r="W242" s="744"/>
    </row>
    <row r="243" spans="6:23" ht="24" customHeight="1">
      <c r="F243" s="283">
        <v>0.75</v>
      </c>
      <c r="G243" s="283" t="s">
        <v>1341</v>
      </c>
      <c r="H243" s="374" t="s">
        <v>747</v>
      </c>
      <c r="I243" s="283">
        <f>AC37</f>
        <v>1008.65</v>
      </c>
      <c r="J243" s="374" t="s">
        <v>1341</v>
      </c>
      <c r="K243" s="283">
        <f>(F243*I243)</f>
        <v>756.49</v>
      </c>
      <c r="W243" s="744"/>
    </row>
    <row r="244" spans="6:23" ht="24" customHeight="1">
      <c r="F244" s="283">
        <v>0.5</v>
      </c>
      <c r="G244" s="283" t="s">
        <v>1341</v>
      </c>
      <c r="H244" s="374" t="s">
        <v>2098</v>
      </c>
      <c r="I244" s="283">
        <f>AC36</f>
        <v>1175.7</v>
      </c>
      <c r="J244" s="374" t="s">
        <v>1341</v>
      </c>
      <c r="K244" s="283">
        <f>(F244*I244)</f>
        <v>587.85</v>
      </c>
      <c r="W244" s="744"/>
    </row>
    <row r="245" spans="6:23" ht="24" customHeight="1">
      <c r="F245" s="283">
        <v>0.45</v>
      </c>
      <c r="G245" s="283" t="s">
        <v>1341</v>
      </c>
      <c r="H245" s="374" t="s">
        <v>925</v>
      </c>
      <c r="I245" s="283">
        <f>AC38</f>
        <v>257.64999999999998</v>
      </c>
      <c r="J245" s="374" t="s">
        <v>1341</v>
      </c>
      <c r="K245" s="283">
        <f>(F245*I245)</f>
        <v>115.94</v>
      </c>
      <c r="W245" s="744"/>
    </row>
    <row r="246" spans="6:23" ht="24" customHeight="1">
      <c r="F246" s="283">
        <v>10</v>
      </c>
      <c r="G246" s="283" t="s">
        <v>233</v>
      </c>
      <c r="H246" s="374" t="s">
        <v>1915</v>
      </c>
      <c r="I246" s="283">
        <v>17.82</v>
      </c>
      <c r="J246" s="374" t="s">
        <v>233</v>
      </c>
      <c r="K246" s="283">
        <f>(F246*I246)</f>
        <v>178.2</v>
      </c>
      <c r="W246" s="744"/>
    </row>
    <row r="247" spans="6:23" ht="24" customHeight="1">
      <c r="H247" s="374" t="s">
        <v>1916</v>
      </c>
      <c r="K247" s="748" t="s">
        <v>1586</v>
      </c>
      <c r="W247" s="744"/>
    </row>
    <row r="248" spans="6:23" ht="24" customHeight="1">
      <c r="H248" s="374" t="s">
        <v>1917</v>
      </c>
      <c r="K248" s="283">
        <f>SUM(K242:K246)</f>
        <v>1642.42</v>
      </c>
      <c r="W248" s="744"/>
    </row>
    <row r="249" spans="6:23" ht="24" customHeight="1">
      <c r="K249" s="748" t="s">
        <v>1586</v>
      </c>
      <c r="W249" s="744"/>
    </row>
    <row r="250" spans="6:23" ht="24" customHeight="1">
      <c r="H250" s="757" t="s">
        <v>1918</v>
      </c>
      <c r="K250" s="751">
        <f>K248/10</f>
        <v>164.24</v>
      </c>
      <c r="W250" s="744"/>
    </row>
    <row r="251" spans="6:23" ht="24" customHeight="1">
      <c r="K251" s="748" t="s">
        <v>2055</v>
      </c>
      <c r="W251" s="744"/>
    </row>
    <row r="252" spans="6:23" ht="24" customHeight="1">
      <c r="W252" s="744"/>
    </row>
    <row r="253" spans="6:23" ht="24" customHeight="1">
      <c r="F253" s="765">
        <v>3.7</v>
      </c>
      <c r="H253" s="374" t="s">
        <v>6085</v>
      </c>
      <c r="W253" s="744"/>
    </row>
    <row r="254" spans="6:23" ht="24" customHeight="1">
      <c r="H254" s="748" t="s">
        <v>1586</v>
      </c>
      <c r="W254" s="744"/>
    </row>
    <row r="255" spans="6:23" ht="24" customHeight="1">
      <c r="F255" s="283">
        <v>2.7</v>
      </c>
      <c r="G255" s="283" t="s">
        <v>1341</v>
      </c>
      <c r="H255" s="374" t="s">
        <v>152</v>
      </c>
      <c r="I255" s="283">
        <f>AC35</f>
        <v>1054.2</v>
      </c>
      <c r="J255" s="374" t="s">
        <v>1341</v>
      </c>
      <c r="K255" s="283">
        <f>(F255*I255)</f>
        <v>2846.34</v>
      </c>
      <c r="W255" s="744"/>
    </row>
    <row r="256" spans="6:23" ht="24" customHeight="1">
      <c r="F256" s="783">
        <v>0.14499999999999999</v>
      </c>
      <c r="G256" s="283" t="s">
        <v>1341</v>
      </c>
      <c r="H256" s="374" t="s">
        <v>912</v>
      </c>
      <c r="I256" s="283">
        <f>AC17</f>
        <v>2074.06</v>
      </c>
      <c r="J256" s="374" t="s">
        <v>1341</v>
      </c>
      <c r="K256" s="283">
        <f>(F256*I256)</f>
        <v>300.74</v>
      </c>
      <c r="W256" s="744"/>
    </row>
    <row r="257" spans="1:33" ht="24" customHeight="1">
      <c r="F257" s="283">
        <v>218.8</v>
      </c>
      <c r="G257" s="283" t="s">
        <v>913</v>
      </c>
      <c r="H257" s="374" t="s">
        <v>914</v>
      </c>
      <c r="I257" s="283">
        <f>C143</f>
        <v>43563.69</v>
      </c>
      <c r="J257" s="374" t="s">
        <v>528</v>
      </c>
      <c r="K257" s="283">
        <f>(F257*I257)/1000</f>
        <v>9531.74</v>
      </c>
      <c r="W257" s="744"/>
    </row>
    <row r="258" spans="1:33" ht="24" customHeight="1">
      <c r="F258" s="283">
        <v>100</v>
      </c>
      <c r="G258" s="283" t="s">
        <v>233</v>
      </c>
      <c r="H258" s="374" t="s">
        <v>915</v>
      </c>
      <c r="I258" s="283">
        <v>14.3</v>
      </c>
      <c r="J258" s="374" t="s">
        <v>233</v>
      </c>
      <c r="K258" s="283">
        <f>(F258*I258)</f>
        <v>1430</v>
      </c>
      <c r="W258" s="744"/>
    </row>
    <row r="259" spans="1:33" ht="24" customHeight="1">
      <c r="K259" s="748" t="s">
        <v>1586</v>
      </c>
      <c r="W259" s="744"/>
    </row>
    <row r="260" spans="1:33" ht="24" customHeight="1">
      <c r="H260" s="374" t="s">
        <v>916</v>
      </c>
      <c r="K260" s="283">
        <f>SUM(K255:K258)</f>
        <v>14108.82</v>
      </c>
      <c r="W260" s="744"/>
    </row>
    <row r="261" spans="1:33" ht="24" customHeight="1">
      <c r="K261" s="748" t="s">
        <v>1586</v>
      </c>
      <c r="W261" s="744"/>
    </row>
    <row r="262" spans="1:33" ht="24" customHeight="1">
      <c r="H262" s="757" t="s">
        <v>1918</v>
      </c>
      <c r="K262" s="751">
        <f>K260/100</f>
        <v>141.09</v>
      </c>
      <c r="W262" s="744"/>
    </row>
    <row r="263" spans="1:33" ht="24" customHeight="1">
      <c r="F263" s="374" t="s">
        <v>975</v>
      </c>
      <c r="G263" s="283" t="s">
        <v>975</v>
      </c>
      <c r="K263" s="748" t="s">
        <v>2055</v>
      </c>
      <c r="W263" s="744"/>
    </row>
    <row r="264" spans="1:33" ht="24" customHeight="1">
      <c r="W264" s="744"/>
    </row>
    <row r="265" spans="1:33" ht="24" customHeight="1">
      <c r="W265" s="744"/>
    </row>
    <row r="266" spans="1:33" ht="24" customHeight="1">
      <c r="A266" s="792">
        <f>(A207+1)</f>
        <v>105</v>
      </c>
      <c r="B266" s="374" t="s">
        <v>5266</v>
      </c>
      <c r="C266" s="283">
        <v>140.65</v>
      </c>
      <c r="D266" s="374" t="s">
        <v>769</v>
      </c>
      <c r="F266" s="744" t="s">
        <v>674</v>
      </c>
      <c r="H266" s="374" t="s">
        <v>1606</v>
      </c>
      <c r="N266" s="374" t="s">
        <v>675</v>
      </c>
      <c r="O266" s="374" t="s">
        <v>834</v>
      </c>
      <c r="W266" s="744"/>
      <c r="AG266" s="374"/>
    </row>
    <row r="267" spans="1:33" ht="24" customHeight="1">
      <c r="A267" s="792">
        <f t="shared" ref="A267:A281" si="31">(A266+1)</f>
        <v>106</v>
      </c>
      <c r="B267" s="374" t="s">
        <v>5841</v>
      </c>
      <c r="C267" s="283">
        <v>170.35</v>
      </c>
      <c r="D267" s="374" t="s">
        <v>769</v>
      </c>
      <c r="H267" s="748" t="s">
        <v>2055</v>
      </c>
      <c r="O267" s="748" t="s">
        <v>1586</v>
      </c>
      <c r="W267" s="744"/>
      <c r="AG267" s="374"/>
    </row>
    <row r="268" spans="1:33" ht="24" customHeight="1">
      <c r="A268" s="792">
        <f t="shared" si="31"/>
        <v>107</v>
      </c>
      <c r="B268" s="374" t="s">
        <v>5842</v>
      </c>
      <c r="C268" s="283">
        <v>63</v>
      </c>
      <c r="D268" s="283">
        <v>156</v>
      </c>
      <c r="E268" s="283" t="s">
        <v>5843</v>
      </c>
      <c r="G268" s="283" t="s">
        <v>2251</v>
      </c>
      <c r="H268" s="374" t="s">
        <v>401</v>
      </c>
      <c r="M268" s="283">
        <v>1.1399999999999999</v>
      </c>
      <c r="N268" s="374" t="s">
        <v>869</v>
      </c>
      <c r="O268" s="374" t="s">
        <v>2279</v>
      </c>
      <c r="P268" s="283">
        <f>(K421)</f>
        <v>6452.86</v>
      </c>
      <c r="Q268" s="374" t="s">
        <v>868</v>
      </c>
      <c r="R268" s="283">
        <f>(M268*P268)</f>
        <v>7356.26</v>
      </c>
      <c r="W268" s="744"/>
      <c r="AG268" s="374"/>
    </row>
    <row r="269" spans="1:33" ht="39" customHeight="1">
      <c r="A269" s="792">
        <f t="shared" si="31"/>
        <v>108</v>
      </c>
      <c r="B269" s="777" t="s">
        <v>5844</v>
      </c>
      <c r="C269" s="283">
        <v>17600</v>
      </c>
      <c r="D269" s="374" t="s">
        <v>869</v>
      </c>
      <c r="H269" s="374" t="s">
        <v>2269</v>
      </c>
      <c r="M269" s="283">
        <v>1</v>
      </c>
      <c r="N269" s="374" t="s">
        <v>769</v>
      </c>
      <c r="O269" s="374" t="s">
        <v>2009</v>
      </c>
      <c r="P269" s="283">
        <f>(C10)</f>
        <v>999</v>
      </c>
      <c r="Q269" s="374" t="s">
        <v>868</v>
      </c>
      <c r="R269" s="283">
        <f>(M269*P269)</f>
        <v>999</v>
      </c>
      <c r="W269" s="744"/>
      <c r="AG269" s="374"/>
    </row>
    <row r="270" spans="1:33" ht="24" customHeight="1">
      <c r="A270" s="792">
        <f t="shared" si="31"/>
        <v>109</v>
      </c>
      <c r="B270" s="374" t="s">
        <v>5845</v>
      </c>
      <c r="C270" s="283">
        <v>15500</v>
      </c>
      <c r="D270" s="374" t="s">
        <v>869</v>
      </c>
      <c r="H270" s="748" t="s">
        <v>1586</v>
      </c>
      <c r="N270" s="374" t="s">
        <v>449</v>
      </c>
      <c r="O270" s="374" t="s">
        <v>450</v>
      </c>
      <c r="P270" s="374" t="s">
        <v>975</v>
      </c>
      <c r="Q270" s="374" t="s">
        <v>449</v>
      </c>
      <c r="R270" s="283">
        <v>0.05</v>
      </c>
      <c r="W270" s="744"/>
      <c r="AG270" s="374"/>
    </row>
    <row r="271" spans="1:33" ht="24" customHeight="1">
      <c r="A271" s="792">
        <f t="shared" si="31"/>
        <v>110</v>
      </c>
      <c r="B271" s="374" t="s">
        <v>5846</v>
      </c>
      <c r="C271" s="283">
        <v>25.2</v>
      </c>
      <c r="D271" s="374" t="s">
        <v>769</v>
      </c>
      <c r="F271" s="283">
        <v>9</v>
      </c>
      <c r="G271" s="283" t="s">
        <v>869</v>
      </c>
      <c r="H271" s="374" t="s">
        <v>439</v>
      </c>
      <c r="I271" s="283">
        <f>(C74)</f>
        <v>1582.2</v>
      </c>
      <c r="J271" s="374" t="s">
        <v>869</v>
      </c>
      <c r="K271" s="283">
        <f t="shared" ref="K271:K276" si="32">(F271*I271)</f>
        <v>14239.8</v>
      </c>
      <c r="R271" s="748" t="s">
        <v>1586</v>
      </c>
      <c r="W271" s="744"/>
      <c r="AG271" s="374"/>
    </row>
    <row r="272" spans="1:33" ht="24" customHeight="1">
      <c r="A272" s="792">
        <f t="shared" si="31"/>
        <v>111</v>
      </c>
      <c r="B272" s="374" t="s">
        <v>5267</v>
      </c>
      <c r="C272" s="283">
        <v>49.85</v>
      </c>
      <c r="D272" s="374" t="s">
        <v>1645</v>
      </c>
      <c r="E272" s="283">
        <v>158</v>
      </c>
      <c r="F272" s="746">
        <v>3.2309999999999999</v>
      </c>
      <c r="G272" s="283" t="s">
        <v>861</v>
      </c>
      <c r="H272" s="374" t="s">
        <v>862</v>
      </c>
      <c r="I272" s="283">
        <f>(C68)</f>
        <v>6040</v>
      </c>
      <c r="J272" s="374" t="s">
        <v>861</v>
      </c>
      <c r="K272" s="283">
        <f t="shared" si="32"/>
        <v>19515.240000000002</v>
      </c>
      <c r="O272" s="374" t="s">
        <v>441</v>
      </c>
      <c r="R272" s="283">
        <f>SUM(R268:R270)</f>
        <v>8355.31</v>
      </c>
      <c r="W272" s="744"/>
      <c r="AG272" s="374"/>
    </row>
    <row r="273" spans="1:33" ht="24" customHeight="1">
      <c r="A273" s="792">
        <f t="shared" si="31"/>
        <v>112</v>
      </c>
      <c r="B273" s="374" t="s">
        <v>5268</v>
      </c>
      <c r="C273" s="283">
        <v>306.89999999999998</v>
      </c>
      <c r="D273" s="283">
        <v>452.09</v>
      </c>
      <c r="E273" s="283">
        <v>250</v>
      </c>
      <c r="F273" s="283">
        <v>4.5</v>
      </c>
      <c r="G273" s="283" t="s">
        <v>869</v>
      </c>
      <c r="H273" s="374" t="s">
        <v>870</v>
      </c>
      <c r="I273" s="283">
        <f>(C79)</f>
        <v>2074.06</v>
      </c>
      <c r="J273" s="374" t="s">
        <v>869</v>
      </c>
      <c r="K273" s="283">
        <f t="shared" si="32"/>
        <v>9333.27</v>
      </c>
      <c r="R273" s="748" t="s">
        <v>1586</v>
      </c>
      <c r="W273" s="744"/>
      <c r="AG273" s="374"/>
    </row>
    <row r="274" spans="1:33" ht="24" customHeight="1">
      <c r="A274" s="792">
        <f t="shared" si="31"/>
        <v>113</v>
      </c>
      <c r="B274" s="374" t="s">
        <v>5269</v>
      </c>
      <c r="C274" s="283">
        <v>144.1</v>
      </c>
      <c r="D274" s="374" t="s">
        <v>1771</v>
      </c>
      <c r="F274" s="283">
        <v>3.5</v>
      </c>
      <c r="G274" s="283" t="s">
        <v>868</v>
      </c>
      <c r="H274" s="374" t="s">
        <v>1712</v>
      </c>
      <c r="I274" s="283">
        <f>(C11)</f>
        <v>932</v>
      </c>
      <c r="J274" s="374" t="s">
        <v>868</v>
      </c>
      <c r="K274" s="283">
        <f t="shared" si="32"/>
        <v>3262</v>
      </c>
      <c r="O274" s="374" t="s">
        <v>552</v>
      </c>
      <c r="R274" s="283">
        <f>(R272/10)</f>
        <v>835.53</v>
      </c>
      <c r="W274" s="744"/>
      <c r="AG274" s="374"/>
    </row>
    <row r="275" spans="1:33" ht="24" customHeight="1">
      <c r="A275" s="792">
        <f t="shared" si="31"/>
        <v>114</v>
      </c>
      <c r="B275" s="374" t="s">
        <v>5270</v>
      </c>
      <c r="C275" s="283">
        <v>52.3</v>
      </c>
      <c r="D275" s="374" t="s">
        <v>769</v>
      </c>
      <c r="F275" s="283">
        <v>21.2</v>
      </c>
      <c r="G275" s="283" t="s">
        <v>868</v>
      </c>
      <c r="H275" s="374" t="s">
        <v>1902</v>
      </c>
      <c r="I275" s="283">
        <f>(C12)</f>
        <v>651</v>
      </c>
      <c r="J275" s="374" t="s">
        <v>868</v>
      </c>
      <c r="K275" s="283">
        <f t="shared" si="32"/>
        <v>13801.2</v>
      </c>
      <c r="R275" s="748" t="s">
        <v>2055</v>
      </c>
      <c r="W275" s="744"/>
      <c r="Y275" s="746"/>
      <c r="Z275" s="746"/>
      <c r="AG275" s="374"/>
    </row>
    <row r="276" spans="1:33" ht="24" customHeight="1">
      <c r="A276" s="792">
        <f t="shared" si="31"/>
        <v>115</v>
      </c>
      <c r="B276" s="374" t="s">
        <v>5271</v>
      </c>
      <c r="C276" s="283">
        <v>45.7</v>
      </c>
      <c r="D276" s="374" t="s">
        <v>769</v>
      </c>
      <c r="F276" s="283">
        <v>35.299999999999997</v>
      </c>
      <c r="G276" s="283" t="s">
        <v>868</v>
      </c>
      <c r="H276" s="374" t="s">
        <v>320</v>
      </c>
      <c r="I276" s="283">
        <f>(C13)</f>
        <v>534</v>
      </c>
      <c r="J276" s="374" t="s">
        <v>868</v>
      </c>
      <c r="K276" s="283">
        <f t="shared" si="32"/>
        <v>18850.2</v>
      </c>
      <c r="N276" s="374" t="s">
        <v>1134</v>
      </c>
      <c r="O276" s="374" t="s">
        <v>386</v>
      </c>
      <c r="R276" s="283">
        <f>(R274+C19/10*M268)</f>
        <v>844.52</v>
      </c>
      <c r="W276" s="744"/>
      <c r="Y276" s="746"/>
      <c r="Z276" s="746"/>
      <c r="AG276" s="374"/>
    </row>
    <row r="277" spans="1:33" ht="24" customHeight="1">
      <c r="A277" s="792">
        <f t="shared" si="31"/>
        <v>116</v>
      </c>
      <c r="B277" s="374" t="s">
        <v>659</v>
      </c>
      <c r="C277" s="283">
        <v>16.440000000000001</v>
      </c>
      <c r="D277" s="374" t="s">
        <v>769</v>
      </c>
      <c r="G277" s="283" t="s">
        <v>449</v>
      </c>
      <c r="H277" s="374" t="s">
        <v>450</v>
      </c>
      <c r="I277" s="374" t="s">
        <v>975</v>
      </c>
      <c r="J277" s="374" t="s">
        <v>449</v>
      </c>
      <c r="K277" s="283">
        <v>0</v>
      </c>
      <c r="N277" s="374" t="s">
        <v>660</v>
      </c>
      <c r="O277" s="374" t="s">
        <v>388</v>
      </c>
      <c r="R277" s="283">
        <f>(R276+C20/10*M268)</f>
        <v>862.67</v>
      </c>
      <c r="W277" s="744"/>
      <c r="Y277" s="746"/>
      <c r="Z277" s="746"/>
      <c r="AG277" s="374"/>
    </row>
    <row r="278" spans="1:33" ht="24" customHeight="1">
      <c r="A278" s="792">
        <f t="shared" si="31"/>
        <v>117</v>
      </c>
      <c r="B278" s="374" t="s">
        <v>5272</v>
      </c>
      <c r="C278" s="283">
        <v>32.1</v>
      </c>
      <c r="D278" s="283">
        <v>6.25</v>
      </c>
      <c r="K278" s="748" t="s">
        <v>1586</v>
      </c>
      <c r="N278" s="374" t="s">
        <v>672</v>
      </c>
      <c r="O278" s="374" t="s">
        <v>2232</v>
      </c>
      <c r="R278" s="283">
        <f>(R277+C21/10*M268)</f>
        <v>880.82</v>
      </c>
      <c r="W278" s="744"/>
      <c r="Y278" s="746"/>
      <c r="Z278" s="746"/>
      <c r="AG278" s="374"/>
    </row>
    <row r="279" spans="1:33" ht="24" customHeight="1">
      <c r="A279" s="792">
        <f t="shared" si="31"/>
        <v>118</v>
      </c>
      <c r="B279" s="374" t="s">
        <v>5273</v>
      </c>
      <c r="C279" s="283">
        <v>364.6</v>
      </c>
      <c r="D279" s="374" t="s">
        <v>609</v>
      </c>
      <c r="H279" s="374" t="s">
        <v>2171</v>
      </c>
      <c r="K279" s="283">
        <f>SUM(K271:K277)</f>
        <v>79001.710000000006</v>
      </c>
      <c r="N279" s="374" t="s">
        <v>2172</v>
      </c>
      <c r="O279" s="374" t="s">
        <v>380</v>
      </c>
      <c r="R279" s="283">
        <f>(R278+C21/10*M268)</f>
        <v>898.97</v>
      </c>
      <c r="W279" s="744"/>
      <c r="Y279" s="746"/>
      <c r="Z279" s="746"/>
      <c r="AG279" s="374"/>
    </row>
    <row r="280" spans="1:33" ht="24" customHeight="1">
      <c r="A280" s="792">
        <f t="shared" si="31"/>
        <v>119</v>
      </c>
      <c r="B280" s="374" t="s">
        <v>5274</v>
      </c>
      <c r="C280" s="283">
        <v>89.6</v>
      </c>
      <c r="D280" s="374" t="s">
        <v>769</v>
      </c>
      <c r="K280" s="748" t="s">
        <v>1586</v>
      </c>
      <c r="W280" s="744"/>
      <c r="Z280" s="746"/>
      <c r="AG280" s="374"/>
    </row>
    <row r="281" spans="1:33" ht="24" customHeight="1">
      <c r="A281" s="792">
        <f t="shared" si="31"/>
        <v>120</v>
      </c>
      <c r="B281" s="374" t="s">
        <v>5275</v>
      </c>
      <c r="C281" s="283">
        <v>71.900000000000006</v>
      </c>
      <c r="D281" s="374" t="s">
        <v>769</v>
      </c>
      <c r="H281" s="757" t="s">
        <v>773</v>
      </c>
      <c r="K281" s="751">
        <f>(K279/10)</f>
        <v>7900.17</v>
      </c>
      <c r="R281" s="374" t="s">
        <v>975</v>
      </c>
      <c r="W281" s="744"/>
      <c r="AG281" s="374"/>
    </row>
    <row r="282" spans="1:33" ht="24" customHeight="1">
      <c r="F282" s="374" t="s">
        <v>975</v>
      </c>
      <c r="N282" s="374" t="s">
        <v>675</v>
      </c>
      <c r="O282" s="374" t="s">
        <v>2173</v>
      </c>
      <c r="W282" s="744"/>
    </row>
    <row r="283" spans="1:33" ht="24" customHeight="1">
      <c r="A283" s="792">
        <f>(A281+1)</f>
        <v>121</v>
      </c>
      <c r="B283" s="374" t="s">
        <v>5276</v>
      </c>
      <c r="C283" s="283">
        <v>49.35</v>
      </c>
      <c r="D283" s="374" t="s">
        <v>769</v>
      </c>
      <c r="O283" s="374" t="s">
        <v>1583</v>
      </c>
      <c r="W283" s="744"/>
      <c r="AG283" s="374"/>
    </row>
    <row r="284" spans="1:33" ht="24" customHeight="1">
      <c r="A284" s="792">
        <f t="shared" ref="A284:A347" si="33">(A283+1)</f>
        <v>122</v>
      </c>
      <c r="B284" s="374" t="s">
        <v>5277</v>
      </c>
      <c r="C284" s="283">
        <v>39.85</v>
      </c>
      <c r="D284" s="374" t="s">
        <v>769</v>
      </c>
      <c r="F284" s="283">
        <v>1</v>
      </c>
      <c r="G284" s="283" t="s">
        <v>869</v>
      </c>
      <c r="H284" s="374" t="s">
        <v>44</v>
      </c>
      <c r="K284" s="283">
        <f>(C25)</f>
        <v>94.2</v>
      </c>
      <c r="O284" s="748" t="s">
        <v>1586</v>
      </c>
      <c r="W284" s="744"/>
      <c r="AG284" s="374"/>
    </row>
    <row r="285" spans="1:33" ht="24" customHeight="1">
      <c r="A285" s="792">
        <f t="shared" si="33"/>
        <v>123</v>
      </c>
      <c r="B285" s="374" t="s">
        <v>5278</v>
      </c>
      <c r="C285" s="283">
        <v>64.8</v>
      </c>
      <c r="D285" s="374" t="s">
        <v>769</v>
      </c>
      <c r="K285" s="748" t="s">
        <v>1586</v>
      </c>
      <c r="M285" s="283">
        <v>10</v>
      </c>
      <c r="N285" s="374" t="s">
        <v>609</v>
      </c>
      <c r="O285" s="374" t="s">
        <v>45</v>
      </c>
      <c r="P285" s="283">
        <f>(K1242)</f>
        <v>1238.95</v>
      </c>
      <c r="Q285" s="374" t="s">
        <v>609</v>
      </c>
      <c r="R285" s="283">
        <f>(M285*P285)</f>
        <v>12389.5</v>
      </c>
      <c r="W285" s="744"/>
      <c r="AG285" s="374"/>
    </row>
    <row r="286" spans="1:33" ht="24" customHeight="1">
      <c r="A286" s="792">
        <f t="shared" si="33"/>
        <v>124</v>
      </c>
      <c r="B286" s="374" t="s">
        <v>5279</v>
      </c>
      <c r="C286" s="283">
        <v>39.700000000000003</v>
      </c>
      <c r="D286" s="374" t="s">
        <v>769</v>
      </c>
      <c r="E286" s="283">
        <v>57</v>
      </c>
      <c r="H286" s="374" t="s">
        <v>602</v>
      </c>
      <c r="K286" s="751">
        <f>SUM(K281:K284)</f>
        <v>7994.37</v>
      </c>
      <c r="M286" s="283">
        <v>1.1000000000000001</v>
      </c>
      <c r="N286" s="374" t="s">
        <v>868</v>
      </c>
      <c r="O286" s="374" t="s">
        <v>1712</v>
      </c>
      <c r="P286" s="283">
        <f>(C11)</f>
        <v>932</v>
      </c>
      <c r="Q286" s="374" t="s">
        <v>868</v>
      </c>
      <c r="R286" s="283">
        <f>(M286*P286)</f>
        <v>1025.2</v>
      </c>
      <c r="W286" s="744"/>
      <c r="AG286" s="374"/>
    </row>
    <row r="287" spans="1:33" ht="24" customHeight="1">
      <c r="A287" s="792">
        <f t="shared" si="33"/>
        <v>125</v>
      </c>
      <c r="B287" s="374" t="s">
        <v>5280</v>
      </c>
      <c r="C287" s="283">
        <v>181</v>
      </c>
      <c r="D287" s="374" t="s">
        <v>769</v>
      </c>
      <c r="K287" s="748" t="s">
        <v>1586</v>
      </c>
      <c r="M287" s="283">
        <v>1.1000000000000001</v>
      </c>
      <c r="N287" s="374" t="s">
        <v>868</v>
      </c>
      <c r="O287" s="374" t="s">
        <v>1902</v>
      </c>
      <c r="P287" s="283">
        <f>(C12)</f>
        <v>651</v>
      </c>
      <c r="Q287" s="374" t="s">
        <v>868</v>
      </c>
      <c r="R287" s="283">
        <f>(M287*P287)</f>
        <v>716.1</v>
      </c>
      <c r="W287" s="744"/>
      <c r="AG287" s="374"/>
    </row>
    <row r="288" spans="1:33" ht="24" customHeight="1">
      <c r="A288" s="792">
        <f t="shared" si="33"/>
        <v>126</v>
      </c>
      <c r="B288" s="374" t="s">
        <v>5281</v>
      </c>
      <c r="C288" s="283">
        <v>101.6</v>
      </c>
      <c r="D288" s="374" t="s">
        <v>769</v>
      </c>
      <c r="H288" s="374" t="s">
        <v>386</v>
      </c>
      <c r="K288" s="751">
        <f>(K286+C22)</f>
        <v>8114.22</v>
      </c>
      <c r="L288" s="283">
        <v>54</v>
      </c>
      <c r="M288" s="283">
        <v>1.1000000000000001</v>
      </c>
      <c r="N288" s="374" t="s">
        <v>868</v>
      </c>
      <c r="O288" s="374" t="s">
        <v>249</v>
      </c>
      <c r="P288" s="283">
        <f>(C13)</f>
        <v>534</v>
      </c>
      <c r="Q288" s="374" t="s">
        <v>868</v>
      </c>
      <c r="R288" s="283">
        <f>(M288*P288)</f>
        <v>587.4</v>
      </c>
      <c r="W288" s="744"/>
      <c r="AG288" s="374"/>
    </row>
    <row r="289" spans="1:33" ht="24" customHeight="1">
      <c r="A289" s="792">
        <f t="shared" si="33"/>
        <v>127</v>
      </c>
      <c r="B289" s="374" t="s">
        <v>4253</v>
      </c>
      <c r="C289" s="283">
        <v>7.3</v>
      </c>
      <c r="D289" s="374" t="s">
        <v>769</v>
      </c>
      <c r="H289" s="374" t="s">
        <v>388</v>
      </c>
      <c r="K289" s="751">
        <f>(K288+C23)</f>
        <v>8350.32</v>
      </c>
      <c r="L289" s="283">
        <v>107</v>
      </c>
      <c r="R289" s="748" t="s">
        <v>1586</v>
      </c>
      <c r="W289" s="744"/>
      <c r="AG289" s="374"/>
    </row>
    <row r="290" spans="1:33" ht="24" customHeight="1">
      <c r="A290" s="792">
        <f t="shared" si="33"/>
        <v>128</v>
      </c>
      <c r="B290" s="374" t="s">
        <v>1150</v>
      </c>
      <c r="C290" s="283">
        <v>7.3</v>
      </c>
      <c r="D290" s="374" t="s">
        <v>769</v>
      </c>
      <c r="H290" s="374" t="s">
        <v>2232</v>
      </c>
      <c r="K290" s="751">
        <f>(K289+C24)</f>
        <v>8586.42</v>
      </c>
      <c r="O290" s="374" t="s">
        <v>441</v>
      </c>
      <c r="R290" s="283">
        <f>SUM(R285:R288)</f>
        <v>14718.2</v>
      </c>
      <c r="W290" s="744"/>
      <c r="AG290" s="374"/>
    </row>
    <row r="291" spans="1:33" ht="24" customHeight="1">
      <c r="A291" s="792">
        <f t="shared" si="33"/>
        <v>129</v>
      </c>
      <c r="B291" s="374" t="s">
        <v>1151</v>
      </c>
      <c r="C291" s="283">
        <v>2.9</v>
      </c>
      <c r="D291" s="374" t="s">
        <v>1152</v>
      </c>
      <c r="H291" s="374" t="s">
        <v>380</v>
      </c>
      <c r="K291" s="751">
        <f>(K290+C24)</f>
        <v>8822.52</v>
      </c>
      <c r="R291" s="748" t="s">
        <v>1586</v>
      </c>
      <c r="W291" s="744"/>
      <c r="AG291" s="374"/>
    </row>
    <row r="292" spans="1:33" ht="24" customHeight="1">
      <c r="A292" s="792">
        <f t="shared" si="33"/>
        <v>130</v>
      </c>
      <c r="B292" s="374" t="s">
        <v>1153</v>
      </c>
      <c r="C292" s="283">
        <v>11.8</v>
      </c>
      <c r="D292" s="374" t="s">
        <v>1152</v>
      </c>
      <c r="H292" s="374" t="s">
        <v>488</v>
      </c>
      <c r="K292" s="751">
        <f>(K291+C24)</f>
        <v>9058.6200000000008</v>
      </c>
      <c r="O292" s="374" t="s">
        <v>552</v>
      </c>
      <c r="R292" s="283">
        <f>(R290/10)</f>
        <v>1471.82</v>
      </c>
      <c r="W292" s="744"/>
      <c r="AG292" s="374"/>
    </row>
    <row r="293" spans="1:33" ht="24" customHeight="1">
      <c r="A293" s="792">
        <f t="shared" si="33"/>
        <v>131</v>
      </c>
      <c r="B293" s="374" t="s">
        <v>489</v>
      </c>
      <c r="C293" s="283">
        <v>8.9</v>
      </c>
      <c r="D293" s="374" t="s">
        <v>769</v>
      </c>
      <c r="R293" s="748" t="s">
        <v>2055</v>
      </c>
      <c r="W293" s="744"/>
      <c r="AG293" s="374"/>
    </row>
    <row r="294" spans="1:33" ht="24" customHeight="1">
      <c r="A294" s="792">
        <f t="shared" si="33"/>
        <v>132</v>
      </c>
      <c r="B294" s="374" t="s">
        <v>490</v>
      </c>
      <c r="C294" s="283">
        <v>6.1</v>
      </c>
      <c r="D294" s="374" t="s">
        <v>769</v>
      </c>
      <c r="F294" s="744" t="s">
        <v>1512</v>
      </c>
      <c r="G294" s="283" t="s">
        <v>2251</v>
      </c>
      <c r="H294" s="374" t="s">
        <v>491</v>
      </c>
      <c r="W294" s="744"/>
      <c r="AG294" s="374"/>
    </row>
    <row r="295" spans="1:33" ht="24" customHeight="1">
      <c r="A295" s="792">
        <f t="shared" si="33"/>
        <v>133</v>
      </c>
      <c r="B295" s="374" t="s">
        <v>492</v>
      </c>
      <c r="C295" s="283">
        <v>5.75</v>
      </c>
      <c r="D295" s="374" t="s">
        <v>769</v>
      </c>
      <c r="H295" s="748" t="s">
        <v>2055</v>
      </c>
      <c r="N295" s="374" t="s">
        <v>2251</v>
      </c>
      <c r="O295" s="374" t="s">
        <v>1125</v>
      </c>
      <c r="W295" s="744"/>
      <c r="AG295" s="374"/>
    </row>
    <row r="296" spans="1:33" ht="24" customHeight="1">
      <c r="A296" s="792">
        <f t="shared" si="33"/>
        <v>134</v>
      </c>
      <c r="B296" s="374" t="s">
        <v>1126</v>
      </c>
      <c r="C296" s="283">
        <v>8.5</v>
      </c>
      <c r="D296" s="374" t="s">
        <v>769</v>
      </c>
      <c r="F296" s="283">
        <v>10</v>
      </c>
      <c r="G296" s="283" t="s">
        <v>869</v>
      </c>
      <c r="H296" s="374" t="s">
        <v>865</v>
      </c>
      <c r="I296" s="283">
        <f>(C69)</f>
        <v>542.6</v>
      </c>
      <c r="J296" s="374" t="s">
        <v>869</v>
      </c>
      <c r="K296" s="283">
        <f t="shared" ref="K296:K302" si="34">(F296*I296)</f>
        <v>5426</v>
      </c>
      <c r="O296" s="748" t="s">
        <v>1586</v>
      </c>
      <c r="W296" s="744"/>
      <c r="AG296" s="374"/>
    </row>
    <row r="297" spans="1:33" ht="24" customHeight="1">
      <c r="A297" s="792">
        <f t="shared" si="33"/>
        <v>135</v>
      </c>
      <c r="B297" s="374" t="s">
        <v>1260</v>
      </c>
      <c r="C297" s="283">
        <v>10</v>
      </c>
      <c r="D297" s="374" t="s">
        <v>769</v>
      </c>
      <c r="F297" s="283">
        <v>1</v>
      </c>
      <c r="G297" s="283" t="s">
        <v>869</v>
      </c>
      <c r="H297" s="374" t="s">
        <v>872</v>
      </c>
      <c r="I297" s="283">
        <f>(C70)</f>
        <v>741.6</v>
      </c>
      <c r="J297" s="374" t="s">
        <v>869</v>
      </c>
      <c r="K297" s="283">
        <f t="shared" si="34"/>
        <v>741.6</v>
      </c>
      <c r="M297" s="283">
        <v>0.14000000000000001</v>
      </c>
      <c r="N297" s="374" t="s">
        <v>869</v>
      </c>
      <c r="O297" s="374" t="s">
        <v>1353</v>
      </c>
      <c r="P297" s="283">
        <f>(K32)</f>
        <v>5089.26</v>
      </c>
      <c r="Q297" s="374" t="s">
        <v>869</v>
      </c>
      <c r="R297" s="283">
        <f>(M297*P297)</f>
        <v>712.5</v>
      </c>
      <c r="W297" s="744"/>
      <c r="AG297" s="374"/>
    </row>
    <row r="298" spans="1:33" ht="24" customHeight="1">
      <c r="A298" s="792">
        <f t="shared" si="33"/>
        <v>136</v>
      </c>
      <c r="B298" s="374" t="s">
        <v>1261</v>
      </c>
      <c r="C298" s="283">
        <v>7</v>
      </c>
      <c r="D298" s="374" t="s">
        <v>769</v>
      </c>
      <c r="F298" s="283">
        <v>3.4</v>
      </c>
      <c r="G298" s="283" t="s">
        <v>869</v>
      </c>
      <c r="H298" s="374" t="s">
        <v>1625</v>
      </c>
      <c r="I298" s="283">
        <f>(K49)</f>
        <v>3929.58</v>
      </c>
      <c r="J298" s="374" t="s">
        <v>869</v>
      </c>
      <c r="K298" s="283">
        <f t="shared" si="34"/>
        <v>13360.57</v>
      </c>
      <c r="M298" s="283">
        <v>1.1000000000000001</v>
      </c>
      <c r="N298" s="374" t="s">
        <v>868</v>
      </c>
      <c r="O298" s="374" t="s">
        <v>2009</v>
      </c>
      <c r="P298" s="283">
        <f>(C10)</f>
        <v>999</v>
      </c>
      <c r="Q298" s="374" t="s">
        <v>868</v>
      </c>
      <c r="R298" s="283">
        <f>(M298*P298)</f>
        <v>1098.9000000000001</v>
      </c>
      <c r="W298" s="744"/>
      <c r="AG298" s="374"/>
    </row>
    <row r="299" spans="1:33" ht="24" customHeight="1">
      <c r="A299" s="792">
        <f t="shared" si="33"/>
        <v>137</v>
      </c>
      <c r="B299" s="374" t="s">
        <v>1262</v>
      </c>
      <c r="C299" s="283">
        <v>2.2000000000000002</v>
      </c>
      <c r="D299" s="374" t="s">
        <v>769</v>
      </c>
      <c r="F299" s="283">
        <v>7.1</v>
      </c>
      <c r="G299" s="283" t="s">
        <v>868</v>
      </c>
      <c r="H299" s="374" t="s">
        <v>2009</v>
      </c>
      <c r="I299" s="283">
        <f>(C10)</f>
        <v>999</v>
      </c>
      <c r="J299" s="374" t="s">
        <v>868</v>
      </c>
      <c r="K299" s="283">
        <f t="shared" si="34"/>
        <v>7092.9</v>
      </c>
      <c r="M299" s="283">
        <v>0.5</v>
      </c>
      <c r="N299" s="374" t="s">
        <v>868</v>
      </c>
      <c r="O299" s="374" t="s">
        <v>1902</v>
      </c>
      <c r="P299" s="283">
        <f>(C12)</f>
        <v>651</v>
      </c>
      <c r="Q299" s="374" t="s">
        <v>868</v>
      </c>
      <c r="R299" s="283">
        <f>(M299*P299)</f>
        <v>325.5</v>
      </c>
      <c r="W299" s="744"/>
      <c r="AG299" s="374"/>
    </row>
    <row r="300" spans="1:33" ht="24" customHeight="1">
      <c r="A300" s="792">
        <f t="shared" si="33"/>
        <v>138</v>
      </c>
      <c r="B300" s="374" t="s">
        <v>1449</v>
      </c>
      <c r="C300" s="283">
        <v>10.5</v>
      </c>
      <c r="D300" s="374" t="s">
        <v>769</v>
      </c>
      <c r="F300" s="283">
        <v>10.6</v>
      </c>
      <c r="G300" s="283" t="s">
        <v>868</v>
      </c>
      <c r="H300" s="374" t="s">
        <v>1712</v>
      </c>
      <c r="I300" s="283">
        <f>(C11)</f>
        <v>932</v>
      </c>
      <c r="J300" s="374" t="s">
        <v>868</v>
      </c>
      <c r="K300" s="283">
        <f t="shared" si="34"/>
        <v>9879.2000000000007</v>
      </c>
      <c r="M300" s="283">
        <v>1.1000000000000001</v>
      </c>
      <c r="N300" s="374" t="s">
        <v>868</v>
      </c>
      <c r="O300" s="374" t="s">
        <v>320</v>
      </c>
      <c r="P300" s="283">
        <f>(C13)</f>
        <v>534</v>
      </c>
      <c r="Q300" s="374" t="s">
        <v>868</v>
      </c>
      <c r="R300" s="283">
        <f>(M300*P300)</f>
        <v>587.4</v>
      </c>
      <c r="W300" s="744"/>
      <c r="AG300" s="374"/>
    </row>
    <row r="301" spans="1:33" ht="24" customHeight="1">
      <c r="A301" s="792">
        <f t="shared" si="33"/>
        <v>139</v>
      </c>
      <c r="B301" s="374" t="s">
        <v>1450</v>
      </c>
      <c r="C301" s="283">
        <v>5.5</v>
      </c>
      <c r="D301" s="374" t="s">
        <v>769</v>
      </c>
      <c r="F301" s="283">
        <v>14.1</v>
      </c>
      <c r="G301" s="283" t="s">
        <v>868</v>
      </c>
      <c r="H301" s="374" t="s">
        <v>1902</v>
      </c>
      <c r="I301" s="283">
        <f>(C12)</f>
        <v>651</v>
      </c>
      <c r="J301" s="374" t="s">
        <v>868</v>
      </c>
      <c r="K301" s="283">
        <f t="shared" si="34"/>
        <v>9179.1</v>
      </c>
      <c r="N301" s="374" t="s">
        <v>449</v>
      </c>
      <c r="O301" s="374" t="s">
        <v>450</v>
      </c>
      <c r="P301" s="374" t="s">
        <v>975</v>
      </c>
      <c r="Q301" s="374" t="s">
        <v>449</v>
      </c>
      <c r="R301" s="283">
        <v>0</v>
      </c>
      <c r="W301" s="744"/>
      <c r="AG301" s="374"/>
    </row>
    <row r="302" spans="1:33" ht="24" customHeight="1">
      <c r="A302" s="792">
        <f t="shared" si="33"/>
        <v>140</v>
      </c>
      <c r="B302" s="374" t="s">
        <v>494</v>
      </c>
      <c r="C302" s="283">
        <v>21</v>
      </c>
      <c r="D302" s="374" t="s">
        <v>769</v>
      </c>
      <c r="F302" s="283">
        <v>14.1</v>
      </c>
      <c r="G302" s="283" t="s">
        <v>868</v>
      </c>
      <c r="H302" s="374" t="s">
        <v>320</v>
      </c>
      <c r="I302" s="283">
        <f>(C13)</f>
        <v>534</v>
      </c>
      <c r="J302" s="374" t="s">
        <v>868</v>
      </c>
      <c r="K302" s="283">
        <f t="shared" si="34"/>
        <v>7529.4</v>
      </c>
      <c r="R302" s="748" t="s">
        <v>1586</v>
      </c>
      <c r="W302" s="744"/>
      <c r="AG302" s="374"/>
    </row>
    <row r="303" spans="1:33" ht="24" customHeight="1">
      <c r="A303" s="792">
        <f t="shared" si="33"/>
        <v>141</v>
      </c>
      <c r="B303" s="374" t="s">
        <v>495</v>
      </c>
      <c r="C303" s="283">
        <v>10</v>
      </c>
      <c r="D303" s="374" t="s">
        <v>769</v>
      </c>
      <c r="G303" s="283" t="s">
        <v>449</v>
      </c>
      <c r="H303" s="374" t="s">
        <v>450</v>
      </c>
      <c r="J303" s="374" t="s">
        <v>449</v>
      </c>
      <c r="K303" s="283">
        <v>0</v>
      </c>
      <c r="O303" s="374" t="s">
        <v>975</v>
      </c>
      <c r="R303" s="283">
        <f>SUM(R297:R301)</f>
        <v>2724.3</v>
      </c>
      <c r="W303" s="744"/>
      <c r="AG303" s="374"/>
    </row>
    <row r="304" spans="1:33" ht="24" customHeight="1">
      <c r="A304" s="792">
        <f t="shared" si="33"/>
        <v>142</v>
      </c>
      <c r="B304" s="374" t="s">
        <v>1805</v>
      </c>
      <c r="C304" s="283">
        <v>4</v>
      </c>
      <c r="D304" s="374" t="s">
        <v>769</v>
      </c>
      <c r="K304" s="748" t="s">
        <v>1586</v>
      </c>
      <c r="R304" s="748" t="s">
        <v>1586</v>
      </c>
      <c r="W304" s="744"/>
      <c r="AG304" s="374"/>
    </row>
    <row r="305" spans="1:33" ht="24" customHeight="1">
      <c r="A305" s="792">
        <f t="shared" si="33"/>
        <v>143</v>
      </c>
      <c r="B305" s="374" t="s">
        <v>1150</v>
      </c>
      <c r="C305" s="283">
        <v>8</v>
      </c>
      <c r="D305" s="374" t="s">
        <v>868</v>
      </c>
      <c r="H305" s="374" t="s">
        <v>614</v>
      </c>
      <c r="K305" s="283">
        <f>SUM(K296:K303)</f>
        <v>53208.77</v>
      </c>
      <c r="O305" s="374" t="s">
        <v>552</v>
      </c>
      <c r="R305" s="283">
        <f>(R303/10)</f>
        <v>272.43</v>
      </c>
      <c r="W305" s="744"/>
      <c r="AG305" s="374"/>
    </row>
    <row r="306" spans="1:33" ht="24" customHeight="1">
      <c r="A306" s="792">
        <f t="shared" si="33"/>
        <v>144</v>
      </c>
      <c r="B306" s="374" t="s">
        <v>1151</v>
      </c>
      <c r="C306" s="283">
        <v>8.5</v>
      </c>
      <c r="D306" s="374" t="s">
        <v>769</v>
      </c>
      <c r="K306" s="748" t="s">
        <v>1586</v>
      </c>
      <c r="N306" s="374" t="s">
        <v>2251</v>
      </c>
      <c r="O306" s="374" t="s">
        <v>496</v>
      </c>
      <c r="R306" s="748" t="s">
        <v>2055</v>
      </c>
      <c r="W306" s="744"/>
      <c r="AG306" s="374"/>
    </row>
    <row r="307" spans="1:33" ht="24" customHeight="1">
      <c r="A307" s="792">
        <f t="shared" si="33"/>
        <v>145</v>
      </c>
      <c r="B307" s="374" t="s">
        <v>604</v>
      </c>
      <c r="C307" s="283">
        <v>2.8</v>
      </c>
      <c r="D307" s="374" t="s">
        <v>769</v>
      </c>
      <c r="H307" s="757" t="s">
        <v>773</v>
      </c>
      <c r="K307" s="751">
        <f>(K305/10)</f>
        <v>5320.88</v>
      </c>
      <c r="O307" s="748" t="s">
        <v>1586</v>
      </c>
      <c r="W307" s="744"/>
      <c r="AG307" s="374"/>
    </row>
    <row r="308" spans="1:33" ht="24" customHeight="1">
      <c r="A308" s="792">
        <f t="shared" si="33"/>
        <v>146</v>
      </c>
      <c r="B308" s="374" t="s">
        <v>1984</v>
      </c>
      <c r="C308" s="283">
        <v>1.8</v>
      </c>
      <c r="D308" s="374" t="s">
        <v>769</v>
      </c>
      <c r="K308" s="748" t="s">
        <v>2055</v>
      </c>
      <c r="M308" s="283">
        <v>0.14000000000000001</v>
      </c>
      <c r="N308" s="374" t="s">
        <v>869</v>
      </c>
      <c r="O308" s="374" t="s">
        <v>119</v>
      </c>
      <c r="P308" s="283">
        <f>(K23)</f>
        <v>6538.86</v>
      </c>
      <c r="Q308" s="374" t="s">
        <v>869</v>
      </c>
      <c r="R308" s="283">
        <f>(M308*P308)</f>
        <v>915.44</v>
      </c>
      <c r="W308" s="744"/>
      <c r="AG308" s="374"/>
    </row>
    <row r="309" spans="1:33" ht="24" customHeight="1">
      <c r="A309" s="792">
        <f t="shared" si="33"/>
        <v>147</v>
      </c>
      <c r="B309" s="283" t="s">
        <v>4233</v>
      </c>
      <c r="C309" s="283">
        <v>3</v>
      </c>
      <c r="D309" s="374" t="s">
        <v>769</v>
      </c>
      <c r="F309" s="765">
        <v>6.5</v>
      </c>
      <c r="G309" s="283" t="s">
        <v>2251</v>
      </c>
      <c r="H309" s="374" t="s">
        <v>2812</v>
      </c>
      <c r="M309" s="283">
        <v>1.1000000000000001</v>
      </c>
      <c r="N309" s="374" t="s">
        <v>868</v>
      </c>
      <c r="O309" s="374" t="s">
        <v>2009</v>
      </c>
      <c r="P309" s="283">
        <f>(C10)</f>
        <v>999</v>
      </c>
      <c r="Q309" s="374" t="s">
        <v>868</v>
      </c>
      <c r="R309" s="283">
        <f>(M309*P309)</f>
        <v>1098.9000000000001</v>
      </c>
      <c r="S309" s="746">
        <v>6.1</v>
      </c>
      <c r="T309" s="283" t="s">
        <v>2251</v>
      </c>
      <c r="U309" s="283" t="s">
        <v>2236</v>
      </c>
      <c r="W309" s="744"/>
      <c r="AB309" s="774">
        <v>6</v>
      </c>
      <c r="AC309" s="283" t="s">
        <v>2251</v>
      </c>
      <c r="AD309" s="374" t="s">
        <v>3508</v>
      </c>
      <c r="AF309" s="374"/>
    </row>
    <row r="310" spans="1:33" ht="24" customHeight="1">
      <c r="A310" s="792">
        <f t="shared" si="33"/>
        <v>148</v>
      </c>
      <c r="B310" s="374" t="s">
        <v>1986</v>
      </c>
      <c r="C310" s="374" t="s">
        <v>975</v>
      </c>
      <c r="H310" s="374" t="s">
        <v>2905</v>
      </c>
      <c r="M310" s="283">
        <v>0.5</v>
      </c>
      <c r="N310" s="374" t="s">
        <v>868</v>
      </c>
      <c r="O310" s="374" t="s">
        <v>1902</v>
      </c>
      <c r="P310" s="283">
        <f>(C12)</f>
        <v>651</v>
      </c>
      <c r="Q310" s="374" t="s">
        <v>868</v>
      </c>
      <c r="R310" s="283">
        <f>(M310*P310)</f>
        <v>325.5</v>
      </c>
      <c r="U310" s="283" t="s">
        <v>427</v>
      </c>
      <c r="W310" s="744"/>
      <c r="AD310" s="374" t="s">
        <v>3509</v>
      </c>
      <c r="AF310" s="374"/>
    </row>
    <row r="311" spans="1:33" ht="24" customHeight="1">
      <c r="A311" s="792">
        <f t="shared" si="33"/>
        <v>149</v>
      </c>
      <c r="B311" s="374" t="s">
        <v>240</v>
      </c>
      <c r="C311" s="283">
        <v>66.44</v>
      </c>
      <c r="D311" s="374" t="s">
        <v>1771</v>
      </c>
      <c r="H311" s="748" t="s">
        <v>1586</v>
      </c>
      <c r="M311" s="283">
        <v>1.1000000000000001</v>
      </c>
      <c r="N311" s="374" t="s">
        <v>868</v>
      </c>
      <c r="O311" s="374" t="s">
        <v>320</v>
      </c>
      <c r="P311" s="283">
        <f>(C13)</f>
        <v>534</v>
      </c>
      <c r="Q311" s="374" t="s">
        <v>868</v>
      </c>
      <c r="R311" s="283">
        <f>(M311*P311)</f>
        <v>587.4</v>
      </c>
      <c r="U311" s="283" t="s">
        <v>1586</v>
      </c>
      <c r="W311" s="744"/>
      <c r="AD311" s="748" t="s">
        <v>1586</v>
      </c>
      <c r="AF311" s="374"/>
    </row>
    <row r="312" spans="1:33" ht="24" customHeight="1">
      <c r="A312" s="792">
        <f t="shared" si="33"/>
        <v>150</v>
      </c>
      <c r="B312" s="374" t="s">
        <v>241</v>
      </c>
      <c r="C312" s="283">
        <v>83.5</v>
      </c>
      <c r="D312" s="374" t="s">
        <v>1771</v>
      </c>
      <c r="F312" s="283">
        <v>4800</v>
      </c>
      <c r="G312" s="283" t="s">
        <v>1425</v>
      </c>
      <c r="H312" s="283" t="str">
        <f>H310</f>
        <v>Bricks of size 22x11x7 cm</v>
      </c>
      <c r="I312" s="283">
        <f>C81</f>
        <v>5840.84</v>
      </c>
      <c r="J312" s="374" t="s">
        <v>1594</v>
      </c>
      <c r="K312" s="283">
        <f>(F312*I312)/1000</f>
        <v>28036.03</v>
      </c>
      <c r="N312" s="374" t="s">
        <v>449</v>
      </c>
      <c r="O312" s="374" t="s">
        <v>450</v>
      </c>
      <c r="P312" s="374" t="s">
        <v>975</v>
      </c>
      <c r="Q312" s="374" t="s">
        <v>449</v>
      </c>
      <c r="R312" s="283">
        <v>0</v>
      </c>
      <c r="S312" s="746">
        <v>4600</v>
      </c>
      <c r="T312" s="283" t="s">
        <v>1425</v>
      </c>
      <c r="U312" s="283" t="s">
        <v>427</v>
      </c>
      <c r="V312" s="784">
        <f>AC41</f>
        <v>6595</v>
      </c>
      <c r="W312" s="771" t="s">
        <v>1290</v>
      </c>
      <c r="X312" s="283">
        <f>(V312*S312)/1000</f>
        <v>30337</v>
      </c>
      <c r="AB312" s="283">
        <v>4240</v>
      </c>
      <c r="AC312" s="283" t="s">
        <v>1425</v>
      </c>
      <c r="AD312" s="283" t="str">
        <f>AD310</f>
        <v>Bricks of size 23x11.4x7.5 cm</v>
      </c>
      <c r="AE312" s="283">
        <f>AC42</f>
        <v>6795</v>
      </c>
      <c r="AF312" s="374" t="s">
        <v>1594</v>
      </c>
      <c r="AG312" s="283">
        <f>(AB312*AE312)/1000</f>
        <v>28810.799999999999</v>
      </c>
    </row>
    <row r="313" spans="1:33" ht="24" customHeight="1">
      <c r="A313" s="792">
        <f t="shared" si="33"/>
        <v>151</v>
      </c>
      <c r="B313" s="374" t="s">
        <v>242</v>
      </c>
      <c r="C313" s="283">
        <v>102.12</v>
      </c>
      <c r="D313" s="374" t="s">
        <v>1771</v>
      </c>
      <c r="F313" s="283">
        <v>2.5</v>
      </c>
      <c r="G313" s="283" t="s">
        <v>869</v>
      </c>
      <c r="H313" s="374" t="s">
        <v>1625</v>
      </c>
      <c r="I313" s="283">
        <f>K49</f>
        <v>3929.58</v>
      </c>
      <c r="J313" s="374" t="s">
        <v>869</v>
      </c>
      <c r="K313" s="283">
        <f>(F313*I313)</f>
        <v>9823.9500000000007</v>
      </c>
      <c r="R313" s="748" t="s">
        <v>1586</v>
      </c>
      <c r="S313" s="746">
        <v>2.5</v>
      </c>
      <c r="T313" s="283" t="s">
        <v>869</v>
      </c>
      <c r="U313" s="283" t="s">
        <v>1625</v>
      </c>
      <c r="V313" s="784">
        <f>K49</f>
        <v>3929.58</v>
      </c>
      <c r="W313" s="744" t="s">
        <v>869</v>
      </c>
      <c r="X313" s="283">
        <f>V313*S313</f>
        <v>9823.9500000000007</v>
      </c>
      <c r="AB313" s="283">
        <v>2</v>
      </c>
      <c r="AC313" s="283" t="s">
        <v>869</v>
      </c>
      <c r="AD313" s="374" t="s">
        <v>1625</v>
      </c>
      <c r="AE313" s="283">
        <f>K49</f>
        <v>3929.58</v>
      </c>
      <c r="AF313" s="374" t="s">
        <v>869</v>
      </c>
      <c r="AG313" s="283">
        <f>(AB313*AE313)</f>
        <v>7859.16</v>
      </c>
    </row>
    <row r="314" spans="1:33" ht="24" customHeight="1">
      <c r="A314" s="792">
        <f t="shared" si="33"/>
        <v>152</v>
      </c>
      <c r="B314" s="374" t="s">
        <v>2222</v>
      </c>
      <c r="C314" s="283">
        <v>182.52</v>
      </c>
      <c r="D314" s="374" t="s">
        <v>1771</v>
      </c>
      <c r="F314" s="283">
        <v>3.5</v>
      </c>
      <c r="G314" s="283" t="s">
        <v>868</v>
      </c>
      <c r="H314" s="374" t="s">
        <v>2009</v>
      </c>
      <c r="I314" s="283">
        <f>C10</f>
        <v>999</v>
      </c>
      <c r="J314" s="374" t="s">
        <v>868</v>
      </c>
      <c r="K314" s="283">
        <f>(F314*I314)</f>
        <v>3496.5</v>
      </c>
      <c r="O314" s="374" t="s">
        <v>441</v>
      </c>
      <c r="R314" s="283">
        <f>SUM(R308:R312)</f>
        <v>2927.24</v>
      </c>
      <c r="S314" s="746">
        <v>3.5</v>
      </c>
      <c r="T314" s="283" t="s">
        <v>868</v>
      </c>
      <c r="U314" s="283" t="s">
        <v>2009</v>
      </c>
      <c r="V314" s="784">
        <f>I314</f>
        <v>999</v>
      </c>
      <c r="W314" s="744" t="s">
        <v>868</v>
      </c>
      <c r="X314" s="283">
        <f>V314*S314</f>
        <v>3496.5</v>
      </c>
      <c r="AB314" s="283">
        <v>3.5</v>
      </c>
      <c r="AC314" s="283" t="s">
        <v>868</v>
      </c>
      <c r="AD314" s="374" t="s">
        <v>2009</v>
      </c>
      <c r="AE314" s="283">
        <f>V314</f>
        <v>999</v>
      </c>
      <c r="AF314" s="374" t="s">
        <v>868</v>
      </c>
      <c r="AG314" s="283">
        <f>(AB314*AE314)</f>
        <v>3496.5</v>
      </c>
    </row>
    <row r="315" spans="1:33" ht="24" customHeight="1">
      <c r="A315" s="792">
        <f t="shared" si="33"/>
        <v>153</v>
      </c>
      <c r="B315" s="374" t="s">
        <v>2223</v>
      </c>
      <c r="F315" s="283">
        <v>10.6</v>
      </c>
      <c r="G315" s="283" t="s">
        <v>868</v>
      </c>
      <c r="H315" s="374" t="s">
        <v>1712</v>
      </c>
      <c r="I315" s="283">
        <f>C11</f>
        <v>932</v>
      </c>
      <c r="J315" s="374" t="s">
        <v>868</v>
      </c>
      <c r="K315" s="283">
        <f>(F315*I315)</f>
        <v>9879.2000000000007</v>
      </c>
      <c r="R315" s="748" t="s">
        <v>1586</v>
      </c>
      <c r="S315" s="746">
        <v>10.6</v>
      </c>
      <c r="T315" s="283" t="s">
        <v>868</v>
      </c>
      <c r="U315" s="283" t="s">
        <v>1712</v>
      </c>
      <c r="V315" s="784">
        <f>I315</f>
        <v>932</v>
      </c>
      <c r="W315" s="744" t="s">
        <v>868</v>
      </c>
      <c r="X315" s="283">
        <f>V315*S315</f>
        <v>9879.2000000000007</v>
      </c>
      <c r="AB315" s="283">
        <v>10.6</v>
      </c>
      <c r="AC315" s="283" t="s">
        <v>868</v>
      </c>
      <c r="AD315" s="374" t="s">
        <v>1712</v>
      </c>
      <c r="AE315" s="283">
        <f>V315</f>
        <v>932</v>
      </c>
      <c r="AF315" s="374" t="s">
        <v>868</v>
      </c>
      <c r="AG315" s="283">
        <f>(AB315*AE315)</f>
        <v>9879.2000000000007</v>
      </c>
    </row>
    <row r="316" spans="1:33" ht="24" customHeight="1">
      <c r="A316" s="792">
        <f t="shared" si="33"/>
        <v>154</v>
      </c>
      <c r="B316" s="374" t="s">
        <v>240</v>
      </c>
      <c r="C316" s="283">
        <v>26.62</v>
      </c>
      <c r="D316" s="374" t="s">
        <v>769</v>
      </c>
      <c r="F316" s="283">
        <v>7.1</v>
      </c>
      <c r="G316" s="283" t="s">
        <v>868</v>
      </c>
      <c r="H316" s="374" t="s">
        <v>1902</v>
      </c>
      <c r="I316" s="283">
        <f>C12</f>
        <v>651</v>
      </c>
      <c r="J316" s="374" t="s">
        <v>868</v>
      </c>
      <c r="K316" s="283">
        <f>(F316*I316)</f>
        <v>4622.1000000000004</v>
      </c>
      <c r="O316" s="374" t="s">
        <v>552</v>
      </c>
      <c r="R316" s="283">
        <f>(R314/10)</f>
        <v>292.72000000000003</v>
      </c>
      <c r="S316" s="746">
        <v>7.1</v>
      </c>
      <c r="T316" s="283" t="s">
        <v>868</v>
      </c>
      <c r="U316" s="283" t="s">
        <v>1902</v>
      </c>
      <c r="V316" s="784">
        <f>I316</f>
        <v>651</v>
      </c>
      <c r="W316" s="744" t="s">
        <v>868</v>
      </c>
      <c r="X316" s="283">
        <f>V316*S316</f>
        <v>4622.1000000000004</v>
      </c>
      <c r="AB316" s="283">
        <v>7.1</v>
      </c>
      <c r="AC316" s="283" t="s">
        <v>868</v>
      </c>
      <c r="AD316" s="374" t="s">
        <v>1902</v>
      </c>
      <c r="AE316" s="283">
        <f>V316</f>
        <v>651</v>
      </c>
      <c r="AF316" s="374" t="s">
        <v>868</v>
      </c>
      <c r="AG316" s="283">
        <f>(AB316*AE316)</f>
        <v>4622.1000000000004</v>
      </c>
    </row>
    <row r="317" spans="1:33" ht="24" customHeight="1">
      <c r="A317" s="792">
        <f t="shared" si="33"/>
        <v>155</v>
      </c>
      <c r="B317" s="374" t="s">
        <v>241</v>
      </c>
      <c r="C317" s="283">
        <v>34.869999999999997</v>
      </c>
      <c r="D317" s="374" t="s">
        <v>769</v>
      </c>
      <c r="F317" s="283">
        <v>21.2</v>
      </c>
      <c r="G317" s="283" t="s">
        <v>868</v>
      </c>
      <c r="H317" s="374" t="s">
        <v>320</v>
      </c>
      <c r="I317" s="283">
        <f>C13</f>
        <v>534</v>
      </c>
      <c r="J317" s="374" t="s">
        <v>868</v>
      </c>
      <c r="K317" s="283">
        <f>(F317*I317)</f>
        <v>11320.8</v>
      </c>
      <c r="R317" s="748" t="s">
        <v>2055</v>
      </c>
      <c r="S317" s="746">
        <v>21.2</v>
      </c>
      <c r="T317" s="283" t="s">
        <v>868</v>
      </c>
      <c r="U317" s="283" t="s">
        <v>320</v>
      </c>
      <c r="V317" s="784">
        <f>I317</f>
        <v>534</v>
      </c>
      <c r="W317" s="744" t="s">
        <v>868</v>
      </c>
      <c r="X317" s="283">
        <f>V317*S317</f>
        <v>11320.8</v>
      </c>
      <c r="AB317" s="283">
        <v>21.2</v>
      </c>
      <c r="AC317" s="283" t="s">
        <v>868</v>
      </c>
      <c r="AD317" s="374" t="s">
        <v>320</v>
      </c>
      <c r="AE317" s="283">
        <f>V317</f>
        <v>534</v>
      </c>
      <c r="AF317" s="374" t="s">
        <v>868</v>
      </c>
      <c r="AG317" s="283">
        <f>(AB317*AE317)</f>
        <v>11320.8</v>
      </c>
    </row>
    <row r="318" spans="1:33" ht="24" customHeight="1">
      <c r="A318" s="792">
        <f t="shared" si="33"/>
        <v>156</v>
      </c>
      <c r="B318" s="374" t="s">
        <v>242</v>
      </c>
      <c r="C318" s="283">
        <v>45</v>
      </c>
      <c r="D318" s="374" t="s">
        <v>769</v>
      </c>
      <c r="G318" s="283" t="s">
        <v>449</v>
      </c>
      <c r="H318" s="374" t="s">
        <v>450</v>
      </c>
      <c r="J318" s="374" t="s">
        <v>449</v>
      </c>
      <c r="K318" s="283">
        <v>5</v>
      </c>
      <c r="N318" s="374" t="s">
        <v>2251</v>
      </c>
      <c r="O318" s="374" t="s">
        <v>2224</v>
      </c>
      <c r="T318" s="283" t="s">
        <v>449</v>
      </c>
      <c r="U318" s="283" t="s">
        <v>450</v>
      </c>
      <c r="W318" s="744" t="s">
        <v>449</v>
      </c>
      <c r="X318" s="283">
        <v>0</v>
      </c>
      <c r="AC318" s="283" t="s">
        <v>449</v>
      </c>
      <c r="AD318" s="374" t="s">
        <v>450</v>
      </c>
      <c r="AF318" s="374" t="s">
        <v>449</v>
      </c>
      <c r="AG318" s="283">
        <v>0</v>
      </c>
    </row>
    <row r="319" spans="1:33" ht="24" customHeight="1">
      <c r="A319" s="792">
        <f t="shared" si="33"/>
        <v>157</v>
      </c>
      <c r="B319" s="374" t="s">
        <v>2222</v>
      </c>
      <c r="C319" s="283">
        <v>99.75</v>
      </c>
      <c r="D319" s="374" t="s">
        <v>769</v>
      </c>
      <c r="K319" s="748" t="s">
        <v>1586</v>
      </c>
      <c r="O319" s="748" t="s">
        <v>1586</v>
      </c>
      <c r="W319" s="744"/>
      <c r="X319" s="283" t="s">
        <v>1586</v>
      </c>
      <c r="AF319" s="374"/>
      <c r="AG319" s="748" t="s">
        <v>1586</v>
      </c>
    </row>
    <row r="320" spans="1:33" ht="24" customHeight="1">
      <c r="A320" s="792">
        <f t="shared" si="33"/>
        <v>158</v>
      </c>
      <c r="B320" s="374" t="s">
        <v>2186</v>
      </c>
      <c r="H320" s="374" t="s">
        <v>614</v>
      </c>
      <c r="K320" s="283">
        <f>SUM(K312:K318)</f>
        <v>67183.58</v>
      </c>
      <c r="M320" s="283">
        <v>0.1</v>
      </c>
      <c r="N320" s="374" t="s">
        <v>869</v>
      </c>
      <c r="O320" s="374" t="s">
        <v>119</v>
      </c>
      <c r="P320" s="283">
        <f>(K23)</f>
        <v>6538.86</v>
      </c>
      <c r="Q320" s="374" t="s">
        <v>869</v>
      </c>
      <c r="R320" s="283">
        <f>(M320*P320)</f>
        <v>653.89</v>
      </c>
      <c r="U320" s="283" t="s">
        <v>614</v>
      </c>
      <c r="W320" s="744"/>
      <c r="X320" s="283">
        <f>SUM(X312:X319)</f>
        <v>69479.55</v>
      </c>
      <c r="AD320" s="374" t="s">
        <v>614</v>
      </c>
      <c r="AF320" s="374"/>
      <c r="AG320" s="283">
        <f>SUM(AG312:AG318)</f>
        <v>65988.56</v>
      </c>
    </row>
    <row r="321" spans="1:34" ht="24" customHeight="1">
      <c r="A321" s="792">
        <f t="shared" si="33"/>
        <v>159</v>
      </c>
      <c r="B321" s="374" t="s">
        <v>240</v>
      </c>
      <c r="C321" s="283">
        <v>43.47</v>
      </c>
      <c r="D321" s="374" t="s">
        <v>769</v>
      </c>
      <c r="K321" s="748" t="s">
        <v>1586</v>
      </c>
      <c r="M321" s="283">
        <v>1.1000000000000001</v>
      </c>
      <c r="N321" s="374" t="s">
        <v>868</v>
      </c>
      <c r="O321" s="374" t="s">
        <v>2009</v>
      </c>
      <c r="P321" s="283">
        <f>(C10)</f>
        <v>999</v>
      </c>
      <c r="Q321" s="374" t="s">
        <v>868</v>
      </c>
      <c r="R321" s="283">
        <f>(M321*P321)</f>
        <v>1098.9000000000001</v>
      </c>
      <c r="W321" s="744"/>
      <c r="X321" s="283" t="s">
        <v>1586</v>
      </c>
      <c r="AF321" s="374"/>
      <c r="AG321" s="748" t="s">
        <v>1586</v>
      </c>
    </row>
    <row r="322" spans="1:34" ht="24" customHeight="1">
      <c r="A322" s="792">
        <f t="shared" si="33"/>
        <v>160</v>
      </c>
      <c r="B322" s="374" t="s">
        <v>241</v>
      </c>
      <c r="C322" s="283">
        <v>50.34</v>
      </c>
      <c r="D322" s="374" t="s">
        <v>769</v>
      </c>
      <c r="H322" s="757" t="s">
        <v>773</v>
      </c>
      <c r="K322" s="751">
        <f>(K320/10)</f>
        <v>6718.36</v>
      </c>
      <c r="M322" s="283">
        <v>1.1000000000000001</v>
      </c>
      <c r="N322" s="374" t="s">
        <v>868</v>
      </c>
      <c r="O322" s="374" t="s">
        <v>1902</v>
      </c>
      <c r="P322" s="283">
        <f>(C12)</f>
        <v>651</v>
      </c>
      <c r="Q322" s="374" t="s">
        <v>868</v>
      </c>
      <c r="R322" s="283">
        <f>(M322*P322)</f>
        <v>716.1</v>
      </c>
      <c r="U322" s="283" t="s">
        <v>773</v>
      </c>
      <c r="W322" s="744"/>
      <c r="X322" s="751">
        <f>X320/10</f>
        <v>6947.96</v>
      </c>
      <c r="AD322" s="757" t="s">
        <v>773</v>
      </c>
      <c r="AF322" s="374"/>
      <c r="AG322" s="751">
        <f>(AG320/10)</f>
        <v>6598.86</v>
      </c>
    </row>
    <row r="323" spans="1:34" ht="24" customHeight="1">
      <c r="A323" s="792">
        <f t="shared" si="33"/>
        <v>161</v>
      </c>
      <c r="B323" s="374" t="s">
        <v>242</v>
      </c>
      <c r="C323" s="283">
        <v>65.209999999999994</v>
      </c>
      <c r="D323" s="374" t="s">
        <v>769</v>
      </c>
      <c r="K323" s="748" t="s">
        <v>2055</v>
      </c>
      <c r="M323" s="283">
        <v>1.1000000000000001</v>
      </c>
      <c r="N323" s="374" t="s">
        <v>868</v>
      </c>
      <c r="O323" s="374" t="s">
        <v>320</v>
      </c>
      <c r="P323" s="283">
        <f>(C13)</f>
        <v>534</v>
      </c>
      <c r="Q323" s="374" t="s">
        <v>868</v>
      </c>
      <c r="R323" s="283">
        <f>(M323*P323)</f>
        <v>587.4</v>
      </c>
      <c r="W323" s="744"/>
      <c r="AF323" s="374"/>
      <c r="AG323" s="748" t="s">
        <v>2055</v>
      </c>
    </row>
    <row r="324" spans="1:34" ht="24" customHeight="1">
      <c r="A324" s="792">
        <f t="shared" si="33"/>
        <v>162</v>
      </c>
      <c r="B324" s="374" t="s">
        <v>2222</v>
      </c>
      <c r="C324" s="283">
        <v>145.29</v>
      </c>
      <c r="D324" s="374" t="s">
        <v>769</v>
      </c>
      <c r="H324" s="374" t="s">
        <v>386</v>
      </c>
      <c r="K324" s="283">
        <f>(K322+C19)</f>
        <v>6797.26</v>
      </c>
      <c r="L324" s="283">
        <f>K324-K322</f>
        <v>78.900000000000006</v>
      </c>
      <c r="N324" s="374" t="s">
        <v>449</v>
      </c>
      <c r="O324" s="374" t="s">
        <v>450</v>
      </c>
      <c r="P324" s="374" t="s">
        <v>975</v>
      </c>
      <c r="Q324" s="374" t="s">
        <v>449</v>
      </c>
      <c r="R324" s="283">
        <v>0</v>
      </c>
      <c r="U324" s="283" t="s">
        <v>386</v>
      </c>
      <c r="W324" s="744"/>
      <c r="X324" s="283">
        <f>X322+C19</f>
        <v>7026.86</v>
      </c>
      <c r="Y324" s="283">
        <f>X324-X322</f>
        <v>78.900000000000006</v>
      </c>
      <c r="AD324" s="374" t="s">
        <v>386</v>
      </c>
      <c r="AF324" s="374"/>
      <c r="AG324" s="283">
        <f>AG322+C19</f>
        <v>6677.76</v>
      </c>
      <c r="AH324" s="283">
        <f>AG324-AG322</f>
        <v>78.900000000000006</v>
      </c>
    </row>
    <row r="325" spans="1:34" ht="24" customHeight="1">
      <c r="A325" s="792">
        <f t="shared" si="33"/>
        <v>163</v>
      </c>
      <c r="B325" s="374" t="s">
        <v>2187</v>
      </c>
      <c r="H325" s="374" t="s">
        <v>388</v>
      </c>
      <c r="K325" s="283">
        <f>(K324+C20)</f>
        <v>6956.46</v>
      </c>
      <c r="L325" s="283">
        <f>K325-K324</f>
        <v>159.19999999999999</v>
      </c>
      <c r="R325" s="748" t="s">
        <v>1586</v>
      </c>
      <c r="U325" s="283" t="s">
        <v>388</v>
      </c>
      <c r="W325" s="744"/>
      <c r="X325" s="283">
        <f>X324+C20</f>
        <v>7186.06</v>
      </c>
      <c r="Y325" s="283">
        <f>X325-X324</f>
        <v>159.19999999999999</v>
      </c>
      <c r="AD325" s="374" t="s">
        <v>388</v>
      </c>
      <c r="AF325" s="374"/>
      <c r="AG325" s="283">
        <f>AG324+C20</f>
        <v>6836.96</v>
      </c>
      <c r="AH325" s="283">
        <f>AG325-AG324</f>
        <v>159.19999999999999</v>
      </c>
    </row>
    <row r="326" spans="1:34" ht="24" customHeight="1">
      <c r="A326" s="792">
        <f t="shared" si="33"/>
        <v>164</v>
      </c>
      <c r="B326" s="374" t="s">
        <v>240</v>
      </c>
      <c r="C326" s="283">
        <v>14.91</v>
      </c>
      <c r="D326" s="374" t="s">
        <v>1771</v>
      </c>
      <c r="H326" s="374" t="s">
        <v>2232</v>
      </c>
      <c r="K326" s="283">
        <f>(K325+C21)</f>
        <v>7115.66</v>
      </c>
      <c r="M326" s="283">
        <f>(K326+K325)/2</f>
        <v>7036.06</v>
      </c>
      <c r="O326" s="374" t="s">
        <v>441</v>
      </c>
      <c r="R326" s="283">
        <f>SUM(R320:R324)</f>
        <v>3056.29</v>
      </c>
      <c r="U326" s="283" t="s">
        <v>2232</v>
      </c>
      <c r="W326" s="744"/>
      <c r="X326" s="283">
        <f>X325+C20</f>
        <v>7345.26</v>
      </c>
      <c r="AD326" s="374" t="s">
        <v>2232</v>
      </c>
      <c r="AF326" s="374"/>
      <c r="AG326" s="283">
        <f>AG325+C20</f>
        <v>6996.16</v>
      </c>
      <c r="AH326" s="283">
        <f>AG325-AG324</f>
        <v>159.19999999999999</v>
      </c>
    </row>
    <row r="327" spans="1:34" ht="24" customHeight="1">
      <c r="A327" s="792">
        <f t="shared" si="33"/>
        <v>165</v>
      </c>
      <c r="B327" s="374" t="s">
        <v>241</v>
      </c>
      <c r="C327" s="283">
        <v>19.41</v>
      </c>
      <c r="D327" s="374" t="s">
        <v>1771</v>
      </c>
      <c r="H327" s="374" t="s">
        <v>380</v>
      </c>
      <c r="K327" s="283">
        <f>(K326+C21)</f>
        <v>7274.86</v>
      </c>
      <c r="R327" s="748" t="s">
        <v>1586</v>
      </c>
      <c r="U327" s="283" t="s">
        <v>380</v>
      </c>
      <c r="W327" s="744"/>
      <c r="X327" s="283">
        <f>X326+C20</f>
        <v>7504.46</v>
      </c>
      <c r="AD327" s="374" t="s">
        <v>380</v>
      </c>
      <c r="AF327" s="374"/>
      <c r="AG327" s="283">
        <f>AG326+C20</f>
        <v>7155.36</v>
      </c>
    </row>
    <row r="328" spans="1:34" ht="24" customHeight="1">
      <c r="A328" s="792">
        <f t="shared" si="33"/>
        <v>166</v>
      </c>
      <c r="B328" s="374" t="s">
        <v>242</v>
      </c>
      <c r="C328" s="283">
        <v>22.22</v>
      </c>
      <c r="D328" s="374" t="s">
        <v>1771</v>
      </c>
      <c r="H328" s="374" t="s">
        <v>488</v>
      </c>
      <c r="K328" s="283">
        <f>(K327+C21)</f>
        <v>7434.06</v>
      </c>
      <c r="O328" s="374" t="s">
        <v>552</v>
      </c>
      <c r="R328" s="283">
        <f>(R326/10)</f>
        <v>305.63</v>
      </c>
      <c r="U328" s="283" t="s">
        <v>488</v>
      </c>
      <c r="W328" s="744"/>
      <c r="X328" s="283">
        <f>X327+C20</f>
        <v>7663.66</v>
      </c>
      <c r="AD328" s="374" t="s">
        <v>488</v>
      </c>
      <c r="AF328" s="374"/>
      <c r="AG328" s="283">
        <f>AG327+C20</f>
        <v>7314.56</v>
      </c>
    </row>
    <row r="329" spans="1:34" ht="24" customHeight="1">
      <c r="A329" s="792"/>
      <c r="B329" s="374"/>
      <c r="D329" s="374"/>
      <c r="H329" s="374"/>
      <c r="O329" s="374"/>
      <c r="W329" s="744"/>
      <c r="AG329" s="374"/>
    </row>
    <row r="330" spans="1:34" ht="24" customHeight="1">
      <c r="A330" s="792"/>
      <c r="B330" s="374"/>
      <c r="D330" s="374"/>
      <c r="F330" s="744" t="s">
        <v>639</v>
      </c>
      <c r="H330" s="374" t="s">
        <v>6086</v>
      </c>
      <c r="K330" s="745">
        <v>719</v>
      </c>
      <c r="L330" s="283" t="s">
        <v>1109</v>
      </c>
      <c r="O330" s="374"/>
      <c r="W330" s="744"/>
      <c r="AG330" s="374"/>
    </row>
    <row r="331" spans="1:34" ht="24" customHeight="1">
      <c r="A331" s="792"/>
      <c r="B331" s="374"/>
      <c r="D331" s="374"/>
      <c r="H331" s="374" t="s">
        <v>5282</v>
      </c>
      <c r="K331" s="748" t="s">
        <v>2055</v>
      </c>
      <c r="O331" s="374"/>
      <c r="W331" s="744"/>
      <c r="AG331" s="374"/>
    </row>
    <row r="332" spans="1:34" ht="24" customHeight="1">
      <c r="A332" s="792"/>
      <c r="B332" s="374"/>
      <c r="D332" s="374"/>
      <c r="H332" s="374"/>
      <c r="O332" s="374"/>
      <c r="W332" s="744"/>
      <c r="AG332" s="374"/>
    </row>
    <row r="333" spans="1:34" ht="24" customHeight="1">
      <c r="A333" s="792">
        <f>(A328+1)</f>
        <v>167</v>
      </c>
      <c r="B333" s="374" t="s">
        <v>2222</v>
      </c>
      <c r="C333" s="283">
        <v>46.42</v>
      </c>
      <c r="D333" s="374" t="s">
        <v>1771</v>
      </c>
      <c r="F333" s="774">
        <v>9</v>
      </c>
      <c r="G333" s="283" t="s">
        <v>2251</v>
      </c>
      <c r="H333" s="374" t="s">
        <v>2813</v>
      </c>
      <c r="R333" s="748" t="s">
        <v>2055</v>
      </c>
      <c r="S333" s="746">
        <v>9</v>
      </c>
      <c r="T333" s="283" t="s">
        <v>2251</v>
      </c>
      <c r="U333" s="283" t="s">
        <v>2235</v>
      </c>
      <c r="W333" s="744"/>
      <c r="AB333" s="774">
        <v>9</v>
      </c>
      <c r="AC333" s="283" t="s">
        <v>2251</v>
      </c>
      <c r="AD333" s="374" t="s">
        <v>3510</v>
      </c>
      <c r="AF333" s="374"/>
    </row>
    <row r="334" spans="1:34" ht="24" customHeight="1">
      <c r="A334" s="792">
        <f t="shared" si="33"/>
        <v>168</v>
      </c>
      <c r="B334" s="374" t="s">
        <v>2188</v>
      </c>
      <c r="H334" s="374" t="str">
        <f>H310</f>
        <v>Bricks of size 22x11x7 cm</v>
      </c>
      <c r="U334" s="283" t="s">
        <v>427</v>
      </c>
      <c r="W334" s="744"/>
      <c r="AD334" s="374" t="str">
        <f>AD310</f>
        <v>Bricks of size 23x11.4x7.5 cm</v>
      </c>
      <c r="AF334" s="374"/>
    </row>
    <row r="335" spans="1:34" ht="24" customHeight="1">
      <c r="A335" s="792">
        <f t="shared" si="33"/>
        <v>169</v>
      </c>
      <c r="B335" s="374" t="s">
        <v>240</v>
      </c>
      <c r="C335" s="283">
        <v>8.58</v>
      </c>
      <c r="D335" s="374" t="s">
        <v>769</v>
      </c>
      <c r="H335" s="748" t="s">
        <v>1586</v>
      </c>
      <c r="N335" s="374" t="s">
        <v>2251</v>
      </c>
      <c r="O335" s="374" t="s">
        <v>2189</v>
      </c>
      <c r="U335" s="283" t="s">
        <v>1586</v>
      </c>
      <c r="W335" s="744"/>
      <c r="AD335" s="748" t="s">
        <v>1586</v>
      </c>
      <c r="AF335" s="374"/>
    </row>
    <row r="336" spans="1:34" ht="24" customHeight="1">
      <c r="A336" s="792">
        <f t="shared" si="33"/>
        <v>170</v>
      </c>
      <c r="B336" s="374" t="s">
        <v>241</v>
      </c>
      <c r="C336" s="283">
        <v>12.26</v>
      </c>
      <c r="D336" s="374" t="s">
        <v>769</v>
      </c>
      <c r="F336" s="283">
        <f>F312</f>
        <v>4800</v>
      </c>
      <c r="G336" s="283" t="s">
        <v>1425</v>
      </c>
      <c r="H336" s="283" t="str">
        <f>H310</f>
        <v>Bricks of size 22x11x7 cm</v>
      </c>
      <c r="I336" s="283">
        <f>C81</f>
        <v>5840.84</v>
      </c>
      <c r="J336" s="374" t="s">
        <v>1594</v>
      </c>
      <c r="K336" s="283">
        <f>(F336*I336)/1000</f>
        <v>28036.03</v>
      </c>
      <c r="O336" s="748" t="s">
        <v>1586</v>
      </c>
      <c r="S336" s="746">
        <v>4600</v>
      </c>
      <c r="T336" s="283" t="s">
        <v>1425</v>
      </c>
      <c r="U336" s="283" t="s">
        <v>427</v>
      </c>
      <c r="V336" s="283">
        <f>AC41</f>
        <v>6595</v>
      </c>
      <c r="W336" s="744" t="s">
        <v>1594</v>
      </c>
      <c r="X336" s="283">
        <f>V336*S336/1000</f>
        <v>30337</v>
      </c>
      <c r="AB336" s="283">
        <f>AB312</f>
        <v>4240</v>
      </c>
      <c r="AC336" s="283" t="s">
        <v>1425</v>
      </c>
      <c r="AD336" s="283" t="str">
        <f>AD310</f>
        <v>Bricks of size 23x11.4x7.5 cm</v>
      </c>
      <c r="AE336" s="283">
        <f>AC42</f>
        <v>6795</v>
      </c>
      <c r="AF336" s="374" t="s">
        <v>1594</v>
      </c>
      <c r="AG336" s="283">
        <f>AE336*AB336/1000</f>
        <v>28810.799999999999</v>
      </c>
    </row>
    <row r="337" spans="1:33" ht="24" customHeight="1">
      <c r="A337" s="792">
        <f t="shared" si="33"/>
        <v>171</v>
      </c>
      <c r="B337" s="374" t="s">
        <v>242</v>
      </c>
      <c r="C337" s="283">
        <v>13.89</v>
      </c>
      <c r="D337" s="374" t="s">
        <v>769</v>
      </c>
      <c r="F337" s="283">
        <f>F313</f>
        <v>2.5</v>
      </c>
      <c r="G337" s="283" t="s">
        <v>869</v>
      </c>
      <c r="H337" s="374" t="s">
        <v>1631</v>
      </c>
      <c r="I337" s="283">
        <f>K59</f>
        <v>3639.66</v>
      </c>
      <c r="J337" s="374" t="s">
        <v>869</v>
      </c>
      <c r="K337" s="283">
        <f>(F337*I337)</f>
        <v>9099.15</v>
      </c>
      <c r="M337" s="283">
        <v>0.22</v>
      </c>
      <c r="N337" s="374" t="s">
        <v>869</v>
      </c>
      <c r="O337" s="374" t="s">
        <v>1625</v>
      </c>
      <c r="P337" s="283">
        <f>(K49)</f>
        <v>3929.58</v>
      </c>
      <c r="Q337" s="374" t="s">
        <v>869</v>
      </c>
      <c r="R337" s="283">
        <f>(M337*P337)</f>
        <v>864.51</v>
      </c>
      <c r="S337" s="746">
        <v>2.5</v>
      </c>
      <c r="T337" s="283" t="s">
        <v>869</v>
      </c>
      <c r="U337" s="283" t="s">
        <v>1631</v>
      </c>
      <c r="V337" s="283">
        <f>I337</f>
        <v>3639.66</v>
      </c>
      <c r="W337" s="744" t="s">
        <v>869</v>
      </c>
      <c r="X337" s="283">
        <f t="shared" ref="X337:X342" si="35">V337*S337</f>
        <v>9099.15</v>
      </c>
      <c r="AB337" s="283">
        <f>AB313</f>
        <v>2</v>
      </c>
      <c r="AC337" s="283" t="s">
        <v>869</v>
      </c>
      <c r="AD337" s="374" t="s">
        <v>1631</v>
      </c>
      <c r="AE337" s="283">
        <f>V337</f>
        <v>3639.66</v>
      </c>
      <c r="AF337" s="374" t="s">
        <v>869</v>
      </c>
      <c r="AG337" s="283">
        <f>AE337*AB337</f>
        <v>7279.32</v>
      </c>
    </row>
    <row r="338" spans="1:33" ht="24" customHeight="1">
      <c r="A338" s="792">
        <f t="shared" si="33"/>
        <v>172</v>
      </c>
      <c r="B338" s="374" t="s">
        <v>2222</v>
      </c>
      <c r="C338" s="283">
        <v>36.25</v>
      </c>
      <c r="D338" s="374" t="s">
        <v>769</v>
      </c>
      <c r="F338" s="283">
        <v>3.5</v>
      </c>
      <c r="G338" s="283" t="s">
        <v>868</v>
      </c>
      <c r="H338" s="374" t="s">
        <v>2009</v>
      </c>
      <c r="I338" s="283">
        <f>C10</f>
        <v>999</v>
      </c>
      <c r="J338" s="374" t="s">
        <v>868</v>
      </c>
      <c r="K338" s="283">
        <f>(F338*I338)</f>
        <v>3496.5</v>
      </c>
      <c r="M338" s="283">
        <v>2.2000000000000002</v>
      </c>
      <c r="N338" s="374" t="s">
        <v>868</v>
      </c>
      <c r="O338" s="374" t="s">
        <v>2009</v>
      </c>
      <c r="P338" s="283">
        <f>(C10)</f>
        <v>999</v>
      </c>
      <c r="Q338" s="374" t="s">
        <v>868</v>
      </c>
      <c r="R338" s="283">
        <f>(M338*P338)</f>
        <v>2197.8000000000002</v>
      </c>
      <c r="S338" s="746">
        <v>3.5</v>
      </c>
      <c r="T338" s="283" t="s">
        <v>868</v>
      </c>
      <c r="U338" s="283" t="s">
        <v>2009</v>
      </c>
      <c r="V338" s="283">
        <f>I338</f>
        <v>999</v>
      </c>
      <c r="W338" s="744" t="s">
        <v>868</v>
      </c>
      <c r="X338" s="283">
        <f t="shared" si="35"/>
        <v>3496.5</v>
      </c>
      <c r="AB338" s="283">
        <v>3.5</v>
      </c>
      <c r="AC338" s="283" t="s">
        <v>868</v>
      </c>
      <c r="AD338" s="374" t="s">
        <v>2009</v>
      </c>
      <c r="AE338" s="283">
        <f>V338</f>
        <v>999</v>
      </c>
      <c r="AF338" s="374" t="s">
        <v>868</v>
      </c>
      <c r="AG338" s="283">
        <f>AE338*AB338</f>
        <v>3496.5</v>
      </c>
    </row>
    <row r="339" spans="1:33" ht="24" customHeight="1">
      <c r="A339" s="792">
        <f t="shared" si="33"/>
        <v>173</v>
      </c>
      <c r="B339" s="374" t="s">
        <v>2190</v>
      </c>
      <c r="F339" s="283">
        <v>10.6</v>
      </c>
      <c r="G339" s="283" t="s">
        <v>868</v>
      </c>
      <c r="H339" s="374" t="s">
        <v>1712</v>
      </c>
      <c r="I339" s="283">
        <f>C11</f>
        <v>932</v>
      </c>
      <c r="J339" s="374" t="s">
        <v>868</v>
      </c>
      <c r="K339" s="283">
        <f>(F339*I339)</f>
        <v>9879.2000000000007</v>
      </c>
      <c r="M339" s="283">
        <v>0.5</v>
      </c>
      <c r="N339" s="374" t="s">
        <v>868</v>
      </c>
      <c r="O339" s="374" t="s">
        <v>1902</v>
      </c>
      <c r="P339" s="283">
        <f>(C12)</f>
        <v>651</v>
      </c>
      <c r="Q339" s="374" t="s">
        <v>868</v>
      </c>
      <c r="R339" s="283">
        <f>(M339*P339)</f>
        <v>325.5</v>
      </c>
      <c r="S339" s="746">
        <v>10.6</v>
      </c>
      <c r="T339" s="283" t="s">
        <v>868</v>
      </c>
      <c r="U339" s="283" t="s">
        <v>1712</v>
      </c>
      <c r="V339" s="283">
        <f>I339</f>
        <v>932</v>
      </c>
      <c r="W339" s="744" t="s">
        <v>868</v>
      </c>
      <c r="X339" s="283">
        <f t="shared" si="35"/>
        <v>9879.2000000000007</v>
      </c>
      <c r="AB339" s="283">
        <v>10.6</v>
      </c>
      <c r="AC339" s="283" t="s">
        <v>868</v>
      </c>
      <c r="AD339" s="374" t="s">
        <v>1712</v>
      </c>
      <c r="AE339" s="283">
        <f>V339</f>
        <v>932</v>
      </c>
      <c r="AF339" s="374" t="s">
        <v>868</v>
      </c>
      <c r="AG339" s="283">
        <f>AE339*AB339</f>
        <v>9879.2000000000007</v>
      </c>
    </row>
    <row r="340" spans="1:33" ht="24" customHeight="1">
      <c r="A340" s="792">
        <f t="shared" si="33"/>
        <v>174</v>
      </c>
      <c r="B340" s="374" t="s">
        <v>240</v>
      </c>
      <c r="C340" s="283">
        <v>15.7</v>
      </c>
      <c r="D340" s="374" t="s">
        <v>769</v>
      </c>
      <c r="F340" s="283">
        <v>7.1</v>
      </c>
      <c r="G340" s="283" t="s">
        <v>868</v>
      </c>
      <c r="H340" s="374" t="s">
        <v>1902</v>
      </c>
      <c r="I340" s="283">
        <f>C12</f>
        <v>651</v>
      </c>
      <c r="J340" s="374" t="s">
        <v>868</v>
      </c>
      <c r="K340" s="283">
        <f>(F340*I340)</f>
        <v>4622.1000000000004</v>
      </c>
      <c r="M340" s="283">
        <v>3.2</v>
      </c>
      <c r="N340" s="374" t="s">
        <v>868</v>
      </c>
      <c r="O340" s="374" t="s">
        <v>320</v>
      </c>
      <c r="P340" s="283">
        <f>(C13)</f>
        <v>534</v>
      </c>
      <c r="Q340" s="374" t="s">
        <v>868</v>
      </c>
      <c r="R340" s="283">
        <f>(M340*P340)</f>
        <v>1708.8</v>
      </c>
      <c r="S340" s="746">
        <v>7.1</v>
      </c>
      <c r="T340" s="283" t="s">
        <v>868</v>
      </c>
      <c r="U340" s="283" t="s">
        <v>1902</v>
      </c>
      <c r="V340" s="283">
        <f>I340</f>
        <v>651</v>
      </c>
      <c r="W340" s="744" t="s">
        <v>868</v>
      </c>
      <c r="X340" s="283">
        <f t="shared" si="35"/>
        <v>4622.1000000000004</v>
      </c>
      <c r="AB340" s="283">
        <v>7.1</v>
      </c>
      <c r="AC340" s="283" t="s">
        <v>868</v>
      </c>
      <c r="AD340" s="374" t="s">
        <v>1902</v>
      </c>
      <c r="AE340" s="283">
        <f>V340</f>
        <v>651</v>
      </c>
      <c r="AF340" s="374" t="s">
        <v>868</v>
      </c>
      <c r="AG340" s="283">
        <f>AE340*AB340</f>
        <v>4622.1000000000004</v>
      </c>
    </row>
    <row r="341" spans="1:33" ht="24" customHeight="1">
      <c r="A341" s="792">
        <f t="shared" si="33"/>
        <v>175</v>
      </c>
      <c r="B341" s="374" t="s">
        <v>241</v>
      </c>
      <c r="C341" s="283">
        <v>22.31</v>
      </c>
      <c r="D341" s="374" t="s">
        <v>769</v>
      </c>
      <c r="F341" s="283">
        <v>21.2</v>
      </c>
      <c r="G341" s="283" t="s">
        <v>868</v>
      </c>
      <c r="H341" s="374" t="s">
        <v>320</v>
      </c>
      <c r="I341" s="283">
        <f>C13</f>
        <v>534</v>
      </c>
      <c r="J341" s="374" t="s">
        <v>868</v>
      </c>
      <c r="K341" s="283">
        <f>(F341*I341)</f>
        <v>11320.8</v>
      </c>
      <c r="N341" s="374" t="s">
        <v>449</v>
      </c>
      <c r="O341" s="374" t="s">
        <v>450</v>
      </c>
      <c r="P341" s="374" t="s">
        <v>975</v>
      </c>
      <c r="Q341" s="374" t="s">
        <v>449</v>
      </c>
      <c r="R341" s="283">
        <v>0</v>
      </c>
      <c r="S341" s="746">
        <v>21.2</v>
      </c>
      <c r="T341" s="283" t="s">
        <v>868</v>
      </c>
      <c r="U341" s="283" t="s">
        <v>320</v>
      </c>
      <c r="V341" s="283">
        <f>I341</f>
        <v>534</v>
      </c>
      <c r="W341" s="744" t="s">
        <v>868</v>
      </c>
      <c r="X341" s="283">
        <f t="shared" si="35"/>
        <v>11320.8</v>
      </c>
      <c r="AB341" s="283">
        <v>21.2</v>
      </c>
      <c r="AC341" s="283" t="s">
        <v>868</v>
      </c>
      <c r="AD341" s="374" t="s">
        <v>320</v>
      </c>
      <c r="AE341" s="283">
        <f>V341</f>
        <v>534</v>
      </c>
      <c r="AF341" s="374" t="s">
        <v>868</v>
      </c>
      <c r="AG341" s="283">
        <f>AE341*AB341</f>
        <v>11320.8</v>
      </c>
    </row>
    <row r="342" spans="1:33" ht="24" customHeight="1">
      <c r="A342" s="792">
        <f t="shared" si="33"/>
        <v>176</v>
      </c>
      <c r="B342" s="374" t="s">
        <v>242</v>
      </c>
      <c r="C342" s="283">
        <v>25.24</v>
      </c>
      <c r="D342" s="374" t="s">
        <v>769</v>
      </c>
      <c r="G342" s="283" t="s">
        <v>449</v>
      </c>
      <c r="H342" s="374" t="s">
        <v>450</v>
      </c>
      <c r="J342" s="374" t="s">
        <v>449</v>
      </c>
      <c r="K342" s="283">
        <v>0</v>
      </c>
      <c r="R342" s="748" t="s">
        <v>1586</v>
      </c>
      <c r="T342" s="283" t="s">
        <v>449</v>
      </c>
      <c r="U342" s="283" t="s">
        <v>450</v>
      </c>
      <c r="W342" s="744" t="s">
        <v>449</v>
      </c>
      <c r="X342" s="283">
        <f t="shared" si="35"/>
        <v>0</v>
      </c>
      <c r="AC342" s="283" t="s">
        <v>449</v>
      </c>
      <c r="AD342" s="374" t="s">
        <v>450</v>
      </c>
      <c r="AF342" s="374" t="s">
        <v>449</v>
      </c>
      <c r="AG342" s="283">
        <v>0</v>
      </c>
    </row>
    <row r="343" spans="1:33" ht="24" customHeight="1">
      <c r="A343" s="792">
        <f t="shared" si="33"/>
        <v>177</v>
      </c>
      <c r="B343" s="374" t="s">
        <v>2222</v>
      </c>
      <c r="C343" s="283">
        <v>52.34</v>
      </c>
      <c r="D343" s="374" t="s">
        <v>769</v>
      </c>
      <c r="K343" s="748" t="s">
        <v>1586</v>
      </c>
      <c r="O343" s="374" t="s">
        <v>441</v>
      </c>
      <c r="R343" s="283">
        <f>SUM(R337:R341)</f>
        <v>5096.6099999999997</v>
      </c>
      <c r="W343" s="744"/>
      <c r="X343" s="748" t="s">
        <v>1586</v>
      </c>
      <c r="AF343" s="374"/>
      <c r="AG343" s="748" t="s">
        <v>1586</v>
      </c>
    </row>
    <row r="344" spans="1:33" ht="24" customHeight="1">
      <c r="A344" s="792">
        <f t="shared" si="33"/>
        <v>178</v>
      </c>
      <c r="B344" s="374" t="s">
        <v>1039</v>
      </c>
      <c r="H344" s="374" t="s">
        <v>614</v>
      </c>
      <c r="K344" s="283">
        <f>SUM(K336:K342)</f>
        <v>66453.78</v>
      </c>
      <c r="R344" s="748" t="s">
        <v>1586</v>
      </c>
      <c r="U344" s="283" t="s">
        <v>614</v>
      </c>
      <c r="W344" s="744"/>
      <c r="X344" s="283">
        <f>SUM(X336:X343)</f>
        <v>68754.75</v>
      </c>
      <c r="AD344" s="374" t="s">
        <v>614</v>
      </c>
      <c r="AF344" s="374"/>
      <c r="AG344" s="283">
        <f>SUM(AG336:AG342)</f>
        <v>65408.72</v>
      </c>
    </row>
    <row r="345" spans="1:33" ht="24" customHeight="1">
      <c r="A345" s="792">
        <f t="shared" si="33"/>
        <v>179</v>
      </c>
      <c r="B345" s="374" t="s">
        <v>240</v>
      </c>
      <c r="C345" s="283">
        <v>13.73</v>
      </c>
      <c r="D345" s="374" t="s">
        <v>769</v>
      </c>
      <c r="K345" s="748" t="s">
        <v>1586</v>
      </c>
      <c r="O345" s="374" t="s">
        <v>552</v>
      </c>
      <c r="R345" s="283">
        <f>(R343/10)</f>
        <v>509.66</v>
      </c>
      <c r="W345" s="744"/>
      <c r="X345" s="748" t="s">
        <v>1586</v>
      </c>
      <c r="AF345" s="374"/>
      <c r="AG345" s="748" t="s">
        <v>1586</v>
      </c>
    </row>
    <row r="346" spans="1:33" ht="24" customHeight="1">
      <c r="A346" s="792">
        <f t="shared" si="33"/>
        <v>180</v>
      </c>
      <c r="B346" s="374" t="s">
        <v>241</v>
      </c>
      <c r="C346" s="283">
        <v>20.16</v>
      </c>
      <c r="D346" s="374" t="s">
        <v>769</v>
      </c>
      <c r="H346" s="744" t="s">
        <v>773</v>
      </c>
      <c r="K346" s="283">
        <f>(K344/10)</f>
        <v>6645.38</v>
      </c>
      <c r="R346" s="748" t="s">
        <v>2055</v>
      </c>
      <c r="U346" s="283" t="s">
        <v>773</v>
      </c>
      <c r="W346" s="744"/>
      <c r="X346" s="283">
        <f>X344/10</f>
        <v>6875.48</v>
      </c>
      <c r="AD346" s="744" t="s">
        <v>773</v>
      </c>
      <c r="AF346" s="374"/>
      <c r="AG346" s="283">
        <f>(AG344/10)</f>
        <v>6540.87</v>
      </c>
    </row>
    <row r="347" spans="1:33" ht="24" customHeight="1">
      <c r="A347" s="792">
        <f t="shared" si="33"/>
        <v>181</v>
      </c>
      <c r="B347" s="374" t="s">
        <v>242</v>
      </c>
      <c r="C347" s="283">
        <v>22.73</v>
      </c>
      <c r="D347" s="374" t="s">
        <v>769</v>
      </c>
      <c r="K347" s="748" t="s">
        <v>2055</v>
      </c>
      <c r="W347" s="744"/>
      <c r="X347" s="785" t="s">
        <v>1224</v>
      </c>
      <c r="AF347" s="374"/>
      <c r="AG347" s="748" t="s">
        <v>2055</v>
      </c>
    </row>
    <row r="348" spans="1:33" ht="24" customHeight="1">
      <c r="A348" s="792">
        <f t="shared" ref="A348:A411" si="36">(A347+1)</f>
        <v>182</v>
      </c>
      <c r="B348" s="374" t="s">
        <v>2222</v>
      </c>
      <c r="C348" s="283">
        <v>46.98</v>
      </c>
      <c r="D348" s="374" t="s">
        <v>975</v>
      </c>
      <c r="H348" s="374" t="s">
        <v>386</v>
      </c>
      <c r="K348" s="751">
        <f>(K346+C19)</f>
        <v>6724.28</v>
      </c>
      <c r="L348" s="283">
        <f>K348-K346</f>
        <v>78.900000000000006</v>
      </c>
      <c r="U348" s="751" t="s">
        <v>386</v>
      </c>
      <c r="W348" s="744"/>
      <c r="X348" s="751">
        <f>X346+C19</f>
        <v>6954.38</v>
      </c>
      <c r="AD348" s="374" t="s">
        <v>386</v>
      </c>
      <c r="AF348" s="374"/>
      <c r="AG348" s="751">
        <f>(AG346+C19)</f>
        <v>6619.77</v>
      </c>
    </row>
    <row r="349" spans="1:33" ht="24" customHeight="1">
      <c r="A349" s="792">
        <f t="shared" si="36"/>
        <v>183</v>
      </c>
      <c r="B349" s="374" t="s">
        <v>1041</v>
      </c>
      <c r="H349" s="374" t="s">
        <v>388</v>
      </c>
      <c r="K349" s="751">
        <f>(K348+C20)</f>
        <v>6883.48</v>
      </c>
      <c r="L349" s="283">
        <f>K349-K348</f>
        <v>159.19999999999999</v>
      </c>
      <c r="U349" s="751" t="s">
        <v>388</v>
      </c>
      <c r="W349" s="744"/>
      <c r="X349" s="751">
        <f>X348+C20</f>
        <v>7113.58</v>
      </c>
      <c r="AD349" s="374" t="s">
        <v>388</v>
      </c>
      <c r="AF349" s="374"/>
      <c r="AG349" s="751">
        <f>(AG348+C20)</f>
        <v>6778.97</v>
      </c>
    </row>
    <row r="350" spans="1:33" ht="24" customHeight="1">
      <c r="A350" s="792">
        <f t="shared" si="36"/>
        <v>184</v>
      </c>
      <c r="B350" s="374" t="s">
        <v>240</v>
      </c>
      <c r="C350" s="283">
        <v>19.3</v>
      </c>
      <c r="D350" s="374" t="s">
        <v>769</v>
      </c>
      <c r="H350" s="374" t="s">
        <v>2232</v>
      </c>
      <c r="K350" s="751">
        <f>(K349+C20)</f>
        <v>7042.68</v>
      </c>
      <c r="L350" s="283">
        <f>K350-K349</f>
        <v>159.19999999999999</v>
      </c>
      <c r="U350" s="751" t="s">
        <v>2232</v>
      </c>
      <c r="W350" s="744"/>
      <c r="X350" s="751">
        <f>X349+C20</f>
        <v>7272.78</v>
      </c>
      <c r="AD350" s="374" t="s">
        <v>2232</v>
      </c>
      <c r="AF350" s="374"/>
      <c r="AG350" s="751">
        <f>(AG349+C20)</f>
        <v>6938.17</v>
      </c>
    </row>
    <row r="351" spans="1:33" ht="24" customHeight="1">
      <c r="A351" s="792">
        <f t="shared" si="36"/>
        <v>185</v>
      </c>
      <c r="B351" s="374" t="s">
        <v>242</v>
      </c>
      <c r="C351" s="283">
        <v>33.46</v>
      </c>
      <c r="D351" s="374" t="s">
        <v>769</v>
      </c>
      <c r="H351" s="374" t="s">
        <v>380</v>
      </c>
      <c r="K351" s="751">
        <f>(K350+C21)</f>
        <v>7201.88</v>
      </c>
      <c r="U351" s="751" t="s">
        <v>380</v>
      </c>
      <c r="W351" s="744"/>
      <c r="X351" s="751">
        <f>X350+C20</f>
        <v>7431.98</v>
      </c>
      <c r="AD351" s="374" t="s">
        <v>380</v>
      </c>
      <c r="AF351" s="374"/>
      <c r="AG351" s="751">
        <f>(AG350+C20)</f>
        <v>7097.37</v>
      </c>
    </row>
    <row r="352" spans="1:33" ht="24" customHeight="1">
      <c r="A352" s="792">
        <f t="shared" si="36"/>
        <v>186</v>
      </c>
      <c r="B352" s="374" t="s">
        <v>2222</v>
      </c>
      <c r="C352" s="283">
        <v>53.62</v>
      </c>
      <c r="D352" s="374" t="s">
        <v>769</v>
      </c>
      <c r="F352" s="374" t="s">
        <v>975</v>
      </c>
      <c r="H352" s="374" t="s">
        <v>488</v>
      </c>
      <c r="K352" s="751">
        <f>(K351+C21)</f>
        <v>7361.08</v>
      </c>
      <c r="L352" s="283">
        <f>K352-K351</f>
        <v>159.19999999999999</v>
      </c>
      <c r="S352" s="746" t="s">
        <v>975</v>
      </c>
      <c r="U352" s="751" t="s">
        <v>488</v>
      </c>
      <c r="W352" s="744"/>
      <c r="X352" s="751">
        <f>X351+C20</f>
        <v>7591.18</v>
      </c>
      <c r="AB352" s="374" t="s">
        <v>975</v>
      </c>
      <c r="AD352" s="374" t="s">
        <v>488</v>
      </c>
      <c r="AF352" s="374"/>
      <c r="AG352" s="751">
        <f>(AG351+C20)</f>
        <v>7256.57</v>
      </c>
    </row>
    <row r="353" spans="1:33" ht="24" customHeight="1">
      <c r="A353" s="792">
        <f t="shared" si="36"/>
        <v>187</v>
      </c>
      <c r="B353" s="374" t="s">
        <v>127</v>
      </c>
      <c r="F353" s="774">
        <v>27</v>
      </c>
      <c r="G353" s="283" t="s">
        <v>2251</v>
      </c>
      <c r="H353" s="374" t="s">
        <v>2814</v>
      </c>
      <c r="L353" s="283">
        <f>K352+L352</f>
        <v>7520.28</v>
      </c>
      <c r="S353" s="746">
        <v>27</v>
      </c>
      <c r="T353" s="283" t="s">
        <v>2251</v>
      </c>
      <c r="U353" s="283" t="s">
        <v>105</v>
      </c>
      <c r="W353" s="744"/>
      <c r="AB353" s="374"/>
      <c r="AD353" s="374">
        <v>5</v>
      </c>
      <c r="AF353" s="374"/>
      <c r="AG353" s="751">
        <f>(AG352+C20)</f>
        <v>7415.77</v>
      </c>
    </row>
    <row r="354" spans="1:33" ht="24" customHeight="1">
      <c r="A354" s="792">
        <f t="shared" si="36"/>
        <v>188</v>
      </c>
      <c r="B354" s="374" t="s">
        <v>240</v>
      </c>
      <c r="C354" s="283">
        <v>13.73</v>
      </c>
      <c r="D354" s="374" t="s">
        <v>769</v>
      </c>
      <c r="H354" s="374" t="str">
        <f>H334</f>
        <v>Bricks of size 22x11x7 cm</v>
      </c>
      <c r="L354" s="283">
        <f>L353+L352</f>
        <v>7679.48</v>
      </c>
      <c r="U354" s="283" t="s">
        <v>427</v>
      </c>
      <c r="W354" s="744"/>
      <c r="AB354" s="374"/>
      <c r="AD354" s="374">
        <v>6</v>
      </c>
      <c r="AF354" s="374"/>
      <c r="AG354" s="751">
        <f>(AG353+C20)</f>
        <v>7574.97</v>
      </c>
    </row>
    <row r="355" spans="1:33" ht="24" customHeight="1">
      <c r="A355" s="792">
        <f t="shared" si="36"/>
        <v>189</v>
      </c>
      <c r="B355" s="374" t="s">
        <v>241</v>
      </c>
      <c r="C355" s="283">
        <v>20.16</v>
      </c>
      <c r="D355" s="374" t="s">
        <v>769</v>
      </c>
      <c r="H355" s="748" t="s">
        <v>1586</v>
      </c>
      <c r="U355" s="283" t="s">
        <v>1586</v>
      </c>
      <c r="W355" s="744"/>
      <c r="AB355" s="374"/>
      <c r="AD355" s="374">
        <v>7</v>
      </c>
      <c r="AF355" s="374"/>
      <c r="AG355" s="751">
        <f>(AG354+C20)</f>
        <v>7734.17</v>
      </c>
    </row>
    <row r="356" spans="1:33" ht="24" customHeight="1">
      <c r="A356" s="792">
        <f t="shared" si="36"/>
        <v>190</v>
      </c>
      <c r="B356" s="374" t="s">
        <v>242</v>
      </c>
      <c r="C356" s="283">
        <v>22.73</v>
      </c>
      <c r="D356" s="374" t="s">
        <v>769</v>
      </c>
      <c r="F356" s="283">
        <v>4800</v>
      </c>
      <c r="G356" s="283" t="s">
        <v>1425</v>
      </c>
      <c r="H356" s="283" t="str">
        <f>H310</f>
        <v>Bricks of size 22x11x7 cm</v>
      </c>
      <c r="I356" s="283">
        <f>C81</f>
        <v>5840.84</v>
      </c>
      <c r="J356" s="374" t="s">
        <v>1594</v>
      </c>
      <c r="K356" s="283">
        <f>(F356*I356)/1000</f>
        <v>28036.03</v>
      </c>
      <c r="S356" s="746">
        <v>4600</v>
      </c>
      <c r="T356" s="283" t="s">
        <v>1425</v>
      </c>
      <c r="U356" s="283" t="s">
        <v>427</v>
      </c>
      <c r="V356" s="283">
        <f>AC41</f>
        <v>6595</v>
      </c>
      <c r="W356" s="744" t="s">
        <v>1594</v>
      </c>
      <c r="X356" s="283">
        <f>V356*S356/1000</f>
        <v>30337</v>
      </c>
      <c r="AB356" s="374"/>
      <c r="AD356" s="374">
        <v>8</v>
      </c>
      <c r="AF356" s="374"/>
      <c r="AG356" s="751">
        <f>(AG355+C20)</f>
        <v>7893.37</v>
      </c>
    </row>
    <row r="357" spans="1:33" ht="24" customHeight="1">
      <c r="A357" s="792">
        <f t="shared" si="36"/>
        <v>191</v>
      </c>
      <c r="B357" s="374" t="s">
        <v>2222</v>
      </c>
      <c r="C357" s="283">
        <v>46.98</v>
      </c>
      <c r="D357" s="374" t="s">
        <v>769</v>
      </c>
      <c r="F357" s="283">
        <v>2.5</v>
      </c>
      <c r="G357" s="283" t="s">
        <v>869</v>
      </c>
      <c r="H357" s="374" t="s">
        <v>1307</v>
      </c>
      <c r="I357" s="283">
        <f>K40</f>
        <v>4364.46</v>
      </c>
      <c r="J357" s="374" t="s">
        <v>869</v>
      </c>
      <c r="K357" s="283">
        <f>(F357*I357)</f>
        <v>10911.15</v>
      </c>
      <c r="S357" s="746">
        <v>2.5</v>
      </c>
      <c r="T357" s="283" t="s">
        <v>869</v>
      </c>
      <c r="U357" s="283" t="s">
        <v>1307</v>
      </c>
      <c r="V357" s="283">
        <f>I357</f>
        <v>4364.46</v>
      </c>
      <c r="W357" s="744" t="s">
        <v>869</v>
      </c>
      <c r="X357" s="283">
        <f>V357*S357</f>
        <v>10911.15</v>
      </c>
      <c r="AB357" s="374"/>
      <c r="AD357" s="374">
        <v>9</v>
      </c>
      <c r="AF357" s="374"/>
      <c r="AG357" s="751">
        <f>(AG356+C20)</f>
        <v>8052.57</v>
      </c>
    </row>
    <row r="358" spans="1:33" ht="24" customHeight="1">
      <c r="A358" s="792">
        <f t="shared" si="36"/>
        <v>192</v>
      </c>
      <c r="B358" s="374" t="s">
        <v>810</v>
      </c>
      <c r="F358" s="283">
        <v>3.5</v>
      </c>
      <c r="G358" s="283" t="s">
        <v>868</v>
      </c>
      <c r="H358" s="374" t="s">
        <v>2009</v>
      </c>
      <c r="I358" s="283">
        <f>(C10)</f>
        <v>999</v>
      </c>
      <c r="J358" s="374" t="s">
        <v>868</v>
      </c>
      <c r="K358" s="283">
        <f>(F358*I358)</f>
        <v>3496.5</v>
      </c>
      <c r="S358" s="746">
        <v>3.5</v>
      </c>
      <c r="T358" s="283" t="s">
        <v>868</v>
      </c>
      <c r="U358" s="283" t="s">
        <v>2009</v>
      </c>
      <c r="V358" s="283">
        <f>I358</f>
        <v>999</v>
      </c>
      <c r="W358" s="744" t="s">
        <v>868</v>
      </c>
      <c r="X358" s="283">
        <f>V358*S358</f>
        <v>3496.5</v>
      </c>
      <c r="AB358" s="374"/>
      <c r="AD358" s="374">
        <v>10</v>
      </c>
      <c r="AF358" s="374"/>
      <c r="AG358" s="751">
        <f>(AG357+C20)</f>
        <v>8211.77</v>
      </c>
    </row>
    <row r="359" spans="1:33" ht="24" customHeight="1">
      <c r="A359" s="792">
        <f t="shared" si="36"/>
        <v>193</v>
      </c>
      <c r="B359" s="374" t="s">
        <v>240</v>
      </c>
      <c r="C359" s="283">
        <v>19.3</v>
      </c>
      <c r="D359" s="374" t="s">
        <v>769</v>
      </c>
      <c r="F359" s="283">
        <v>10.6</v>
      </c>
      <c r="G359" s="283" t="s">
        <v>868</v>
      </c>
      <c r="H359" s="374" t="s">
        <v>1712</v>
      </c>
      <c r="I359" s="283">
        <f>(C11)</f>
        <v>932</v>
      </c>
      <c r="J359" s="374" t="s">
        <v>868</v>
      </c>
      <c r="K359" s="283">
        <f>(F359*I359)</f>
        <v>9879.2000000000007</v>
      </c>
      <c r="N359" s="374" t="s">
        <v>2251</v>
      </c>
      <c r="O359" s="374" t="s">
        <v>811</v>
      </c>
      <c r="S359" s="746">
        <v>10.6</v>
      </c>
      <c r="T359" s="283" t="s">
        <v>868</v>
      </c>
      <c r="U359" s="283" t="s">
        <v>1712</v>
      </c>
      <c r="V359" s="283">
        <f>I359</f>
        <v>932</v>
      </c>
      <c r="W359" s="744" t="s">
        <v>868</v>
      </c>
      <c r="X359" s="283">
        <f>V359*S359</f>
        <v>9879.2000000000007</v>
      </c>
      <c r="AB359" s="374"/>
      <c r="AD359" s="374">
        <v>11</v>
      </c>
      <c r="AF359" s="374"/>
      <c r="AG359" s="751">
        <f>(AG358+C20)</f>
        <v>8370.9699999999993</v>
      </c>
    </row>
    <row r="360" spans="1:33" ht="24" customHeight="1">
      <c r="A360" s="792">
        <f t="shared" si="36"/>
        <v>194</v>
      </c>
      <c r="B360" s="374" t="s">
        <v>241</v>
      </c>
      <c r="C360" s="283">
        <v>25.74</v>
      </c>
      <c r="D360" s="374" t="s">
        <v>769</v>
      </c>
      <c r="F360" s="283">
        <v>7.1</v>
      </c>
      <c r="G360" s="283" t="s">
        <v>868</v>
      </c>
      <c r="H360" s="374" t="s">
        <v>1902</v>
      </c>
      <c r="I360" s="283">
        <f>(C12)</f>
        <v>651</v>
      </c>
      <c r="J360" s="374" t="s">
        <v>868</v>
      </c>
      <c r="K360" s="283">
        <f>(F360*I360)</f>
        <v>4622.1000000000004</v>
      </c>
      <c r="O360" s="374" t="s">
        <v>812</v>
      </c>
      <c r="S360" s="746">
        <v>7.1</v>
      </c>
      <c r="T360" s="283" t="s">
        <v>868</v>
      </c>
      <c r="U360" s="283" t="s">
        <v>1902</v>
      </c>
      <c r="V360" s="283">
        <f>I360</f>
        <v>651</v>
      </c>
      <c r="W360" s="744" t="s">
        <v>868</v>
      </c>
      <c r="X360" s="283">
        <f>V360*S360</f>
        <v>4622.1000000000004</v>
      </c>
      <c r="AB360" s="374"/>
      <c r="AD360" s="374">
        <v>12</v>
      </c>
      <c r="AF360" s="374"/>
      <c r="AG360" s="751">
        <f>(AG359+C20)</f>
        <v>8530.17</v>
      </c>
    </row>
    <row r="361" spans="1:33" ht="24" customHeight="1">
      <c r="A361" s="792">
        <f t="shared" si="36"/>
        <v>195</v>
      </c>
      <c r="B361" s="374" t="s">
        <v>242</v>
      </c>
      <c r="C361" s="283">
        <v>33.46</v>
      </c>
      <c r="D361" s="374" t="s">
        <v>769</v>
      </c>
      <c r="F361" s="283">
        <v>21.2</v>
      </c>
      <c r="G361" s="283" t="s">
        <v>868</v>
      </c>
      <c r="H361" s="374" t="s">
        <v>320</v>
      </c>
      <c r="I361" s="283">
        <f>(C13)</f>
        <v>534</v>
      </c>
      <c r="J361" s="374" t="s">
        <v>868</v>
      </c>
      <c r="K361" s="283">
        <f>(F361*I361)</f>
        <v>11320.8</v>
      </c>
      <c r="O361" s="374" t="s">
        <v>813</v>
      </c>
      <c r="S361" s="746">
        <v>21.2</v>
      </c>
      <c r="T361" s="283" t="s">
        <v>868</v>
      </c>
      <c r="U361" s="283" t="s">
        <v>320</v>
      </c>
      <c r="V361" s="283">
        <f>I361</f>
        <v>534</v>
      </c>
      <c r="W361" s="744" t="s">
        <v>868</v>
      </c>
      <c r="X361" s="283">
        <f>V361*S361</f>
        <v>11320.8</v>
      </c>
      <c r="AB361" s="374"/>
      <c r="AD361" s="374">
        <v>13</v>
      </c>
      <c r="AF361" s="374"/>
      <c r="AG361" s="751">
        <f>(AG360+C20)</f>
        <v>8689.3700000000008</v>
      </c>
    </row>
    <row r="362" spans="1:33" ht="24" customHeight="1">
      <c r="A362" s="792">
        <f t="shared" si="36"/>
        <v>196</v>
      </c>
      <c r="B362" s="374" t="s">
        <v>2222</v>
      </c>
      <c r="C362" s="283">
        <v>53.62</v>
      </c>
      <c r="D362" s="374" t="s">
        <v>975</v>
      </c>
      <c r="G362" s="283" t="s">
        <v>449</v>
      </c>
      <c r="H362" s="374" t="s">
        <v>450</v>
      </c>
      <c r="J362" s="374" t="s">
        <v>449</v>
      </c>
      <c r="K362" s="283">
        <v>0</v>
      </c>
      <c r="O362" s="748" t="s">
        <v>1586</v>
      </c>
      <c r="T362" s="283" t="s">
        <v>449</v>
      </c>
      <c r="U362" s="283" t="s">
        <v>450</v>
      </c>
      <c r="W362" s="744" t="s">
        <v>449</v>
      </c>
      <c r="X362" s="283">
        <v>0</v>
      </c>
      <c r="AB362" s="774">
        <v>27</v>
      </c>
      <c r="AC362" s="283" t="s">
        <v>2251</v>
      </c>
      <c r="AD362" s="374" t="s">
        <v>3511</v>
      </c>
      <c r="AF362" s="374"/>
    </row>
    <row r="363" spans="1:33" ht="24" customHeight="1">
      <c r="A363" s="792">
        <f t="shared" si="36"/>
        <v>197</v>
      </c>
      <c r="B363" s="374" t="s">
        <v>969</v>
      </c>
      <c r="K363" s="748" t="s">
        <v>1586</v>
      </c>
      <c r="M363" s="283">
        <v>0.22</v>
      </c>
      <c r="N363" s="374" t="s">
        <v>869</v>
      </c>
      <c r="O363" s="374" t="s">
        <v>1307</v>
      </c>
      <c r="P363" s="283">
        <f>(K40)</f>
        <v>4364.46</v>
      </c>
      <c r="Q363" s="374" t="s">
        <v>869</v>
      </c>
      <c r="R363" s="283">
        <f t="shared" ref="R363:R368" si="37">(M363*P363)</f>
        <v>960.18</v>
      </c>
      <c r="W363" s="744"/>
      <c r="X363" s="748" t="s">
        <v>1586</v>
      </c>
      <c r="AD363" s="374" t="str">
        <f>AD334</f>
        <v>Bricks of size 23x11.4x7.5 cm</v>
      </c>
      <c r="AF363" s="374"/>
    </row>
    <row r="364" spans="1:33" ht="24" customHeight="1">
      <c r="A364" s="792">
        <f t="shared" si="36"/>
        <v>198</v>
      </c>
      <c r="B364" s="374" t="s">
        <v>240</v>
      </c>
      <c r="C364" s="283">
        <v>26.16</v>
      </c>
      <c r="D364" s="374" t="s">
        <v>769</v>
      </c>
      <c r="H364" s="374" t="s">
        <v>614</v>
      </c>
      <c r="K364" s="283">
        <f>SUM(K356:K362)</f>
        <v>68265.78</v>
      </c>
      <c r="M364" s="283">
        <v>2.2000000000000002</v>
      </c>
      <c r="N364" s="374" t="s">
        <v>868</v>
      </c>
      <c r="O364" s="374" t="s">
        <v>2009</v>
      </c>
      <c r="P364" s="283">
        <f>(C10)</f>
        <v>999</v>
      </c>
      <c r="Q364" s="374" t="s">
        <v>868</v>
      </c>
      <c r="R364" s="283">
        <f t="shared" si="37"/>
        <v>2197.8000000000002</v>
      </c>
      <c r="U364" s="283" t="s">
        <v>614</v>
      </c>
      <c r="W364" s="744"/>
      <c r="X364" s="283">
        <f>SUM(X356:X362)</f>
        <v>70566.75</v>
      </c>
      <c r="AD364" s="748" t="s">
        <v>1586</v>
      </c>
      <c r="AF364" s="374"/>
    </row>
    <row r="365" spans="1:33" ht="24" customHeight="1">
      <c r="A365" s="792">
        <f t="shared" si="36"/>
        <v>199</v>
      </c>
      <c r="B365" s="374" t="s">
        <v>241</v>
      </c>
      <c r="C365" s="283">
        <v>34.32</v>
      </c>
      <c r="D365" s="374" t="s">
        <v>769</v>
      </c>
      <c r="K365" s="748" t="s">
        <v>1586</v>
      </c>
      <c r="M365" s="283">
        <v>0.5</v>
      </c>
      <c r="N365" s="374" t="s">
        <v>868</v>
      </c>
      <c r="O365" s="374" t="s">
        <v>1902</v>
      </c>
      <c r="P365" s="283">
        <f>(C12)</f>
        <v>651</v>
      </c>
      <c r="Q365" s="374" t="s">
        <v>868</v>
      </c>
      <c r="R365" s="283">
        <f t="shared" si="37"/>
        <v>325.5</v>
      </c>
      <c r="W365" s="744"/>
      <c r="X365" s="748" t="s">
        <v>1586</v>
      </c>
      <c r="AB365" s="283">
        <v>4240</v>
      </c>
      <c r="AC365" s="283" t="s">
        <v>1425</v>
      </c>
      <c r="AD365" s="283" t="str">
        <f>AD310</f>
        <v>Bricks of size 23x11.4x7.5 cm</v>
      </c>
      <c r="AE365" s="283">
        <f>AC42</f>
        <v>6795</v>
      </c>
      <c r="AF365" s="374" t="s">
        <v>1594</v>
      </c>
      <c r="AG365" s="283">
        <f>(AB365*AE365)/1000</f>
        <v>28810.799999999999</v>
      </c>
    </row>
    <row r="366" spans="1:33" ht="24" customHeight="1">
      <c r="A366" s="792">
        <f t="shared" si="36"/>
        <v>200</v>
      </c>
      <c r="B366" s="374" t="s">
        <v>242</v>
      </c>
      <c r="C366" s="283">
        <v>40.33</v>
      </c>
      <c r="D366" s="374" t="s">
        <v>769</v>
      </c>
      <c r="H366" s="374" t="s">
        <v>773</v>
      </c>
      <c r="K366" s="283">
        <f>(K364/10)</f>
        <v>6826.58</v>
      </c>
      <c r="M366" s="283">
        <v>1.1000000000000001</v>
      </c>
      <c r="N366" s="374" t="s">
        <v>970</v>
      </c>
      <c r="O366" s="374" t="s">
        <v>971</v>
      </c>
      <c r="P366" s="283">
        <f>(C10)</f>
        <v>999</v>
      </c>
      <c r="Q366" s="374" t="s">
        <v>868</v>
      </c>
      <c r="R366" s="283">
        <f t="shared" si="37"/>
        <v>1098.9000000000001</v>
      </c>
      <c r="U366" s="283" t="s">
        <v>773</v>
      </c>
      <c r="W366" s="744"/>
      <c r="X366" s="283">
        <f>X364/10</f>
        <v>7056.68</v>
      </c>
      <c r="AB366" s="283">
        <v>2</v>
      </c>
      <c r="AC366" s="283" t="s">
        <v>869</v>
      </c>
      <c r="AD366" s="374" t="s">
        <v>1307</v>
      </c>
      <c r="AE366" s="283">
        <f>V357</f>
        <v>4364.46</v>
      </c>
      <c r="AF366" s="374" t="s">
        <v>869</v>
      </c>
      <c r="AG366" s="283">
        <f>(AB366*AE366)</f>
        <v>8728.92</v>
      </c>
    </row>
    <row r="367" spans="1:33" ht="24" customHeight="1">
      <c r="A367" s="792">
        <f t="shared" si="36"/>
        <v>201</v>
      </c>
      <c r="B367" s="374" t="s">
        <v>972</v>
      </c>
      <c r="D367" s="374" t="s">
        <v>975</v>
      </c>
      <c r="K367" s="748" t="s">
        <v>2055</v>
      </c>
      <c r="M367" s="283">
        <v>3.2</v>
      </c>
      <c r="N367" s="374" t="s">
        <v>868</v>
      </c>
      <c r="O367" s="374" t="s">
        <v>320</v>
      </c>
      <c r="P367" s="283">
        <f>(C13)</f>
        <v>534</v>
      </c>
      <c r="Q367" s="374" t="s">
        <v>868</v>
      </c>
      <c r="R367" s="283">
        <f t="shared" si="37"/>
        <v>1708.8</v>
      </c>
      <c r="W367" s="744"/>
      <c r="X367" s="785" t="s">
        <v>1224</v>
      </c>
      <c r="AB367" s="283">
        <v>3.5</v>
      </c>
      <c r="AC367" s="283" t="s">
        <v>868</v>
      </c>
      <c r="AD367" s="374" t="s">
        <v>2009</v>
      </c>
      <c r="AE367" s="283">
        <f>V358</f>
        <v>999</v>
      </c>
      <c r="AF367" s="374" t="s">
        <v>868</v>
      </c>
      <c r="AG367" s="283">
        <f>(AB367*AE367)</f>
        <v>3496.5</v>
      </c>
    </row>
    <row r="368" spans="1:33" ht="24" customHeight="1">
      <c r="A368" s="792">
        <f t="shared" si="36"/>
        <v>202</v>
      </c>
      <c r="B368" s="374" t="s">
        <v>240</v>
      </c>
      <c r="C368" s="283">
        <v>20.329999999999998</v>
      </c>
      <c r="D368" s="374" t="s">
        <v>769</v>
      </c>
      <c r="H368" s="374" t="s">
        <v>386</v>
      </c>
      <c r="J368" s="374">
        <f>K368-K366</f>
        <v>78.900000000000006</v>
      </c>
      <c r="K368" s="283">
        <f>(K366+C19)</f>
        <v>6905.48</v>
      </c>
      <c r="M368" s="283">
        <v>9.8000000000000007</v>
      </c>
      <c r="N368" s="374" t="s">
        <v>1645</v>
      </c>
      <c r="O368" s="374" t="s">
        <v>1646</v>
      </c>
      <c r="P368" s="283">
        <f>(C149)</f>
        <v>145.19999999999999</v>
      </c>
      <c r="Q368" s="374" t="s">
        <v>1645</v>
      </c>
      <c r="R368" s="283">
        <f t="shared" si="37"/>
        <v>1422.96</v>
      </c>
      <c r="U368" s="283" t="s">
        <v>386</v>
      </c>
      <c r="W368" s="744"/>
      <c r="X368" s="283">
        <f>X366+C19</f>
        <v>7135.58</v>
      </c>
      <c r="Y368" s="283">
        <f>X366+X368+X369+X370+X371+X372</f>
        <v>44326.58</v>
      </c>
      <c r="Z368" s="283">
        <f>Y368/6</f>
        <v>7387.76</v>
      </c>
      <c r="AB368" s="283">
        <v>10.6</v>
      </c>
      <c r="AC368" s="283" t="s">
        <v>868</v>
      </c>
      <c r="AD368" s="374" t="s">
        <v>1712</v>
      </c>
      <c r="AE368" s="283">
        <f>V359</f>
        <v>932</v>
      </c>
      <c r="AF368" s="374" t="s">
        <v>868</v>
      </c>
      <c r="AG368" s="283">
        <f>(AB368*AE368)</f>
        <v>9879.2000000000007</v>
      </c>
    </row>
    <row r="369" spans="1:34" ht="24" customHeight="1">
      <c r="A369" s="792">
        <f t="shared" si="36"/>
        <v>203</v>
      </c>
      <c r="B369" s="374" t="s">
        <v>241</v>
      </c>
      <c r="C369" s="283">
        <v>26.6</v>
      </c>
      <c r="D369" s="374" t="s">
        <v>769</v>
      </c>
      <c r="H369" s="374" t="s">
        <v>388</v>
      </c>
      <c r="J369" s="374">
        <f>K369-K368</f>
        <v>159.19999999999999</v>
      </c>
      <c r="K369" s="283">
        <f>(K368+C20)</f>
        <v>7064.68</v>
      </c>
      <c r="L369" s="283">
        <f>(K368+K369)/2</f>
        <v>6985.08</v>
      </c>
      <c r="N369" s="374" t="s">
        <v>449</v>
      </c>
      <c r="O369" s="374" t="s">
        <v>450</v>
      </c>
      <c r="P369" s="374" t="s">
        <v>975</v>
      </c>
      <c r="Q369" s="374" t="s">
        <v>449</v>
      </c>
      <c r="R369" s="283">
        <v>0</v>
      </c>
      <c r="U369" s="283" t="s">
        <v>388</v>
      </c>
      <c r="W369" s="744"/>
      <c r="X369" s="283">
        <f>X368+C20</f>
        <v>7294.78</v>
      </c>
      <c r="Y369" s="283">
        <f>SUM(X368:X369)/2</f>
        <v>7215.18</v>
      </c>
      <c r="AB369" s="283">
        <v>7.1</v>
      </c>
      <c r="AC369" s="283" t="s">
        <v>868</v>
      </c>
      <c r="AD369" s="374" t="s">
        <v>1902</v>
      </c>
      <c r="AE369" s="283">
        <f>V360</f>
        <v>651</v>
      </c>
      <c r="AF369" s="374" t="s">
        <v>868</v>
      </c>
      <c r="AG369" s="283">
        <f>(AB369*AE369)</f>
        <v>4622.1000000000004</v>
      </c>
      <c r="AH369" s="283">
        <f>(AG378+AG377)/2</f>
        <v>6844.33</v>
      </c>
    </row>
    <row r="370" spans="1:34" ht="24" customHeight="1">
      <c r="A370" s="792">
        <f t="shared" si="36"/>
        <v>204</v>
      </c>
      <c r="B370" s="374" t="s">
        <v>242</v>
      </c>
      <c r="C370" s="283">
        <v>33.89</v>
      </c>
      <c r="D370" s="374" t="s">
        <v>769</v>
      </c>
      <c r="H370" s="374" t="s">
        <v>2232</v>
      </c>
      <c r="J370" s="374">
        <f>K370-K369</f>
        <v>159.19999999999999</v>
      </c>
      <c r="K370" s="283">
        <f>(K369+C21)</f>
        <v>7223.88</v>
      </c>
      <c r="L370" s="283">
        <f>SUM(K368:K370)/3</f>
        <v>7064.68</v>
      </c>
      <c r="R370" s="748" t="s">
        <v>1586</v>
      </c>
      <c r="U370" s="283" t="s">
        <v>2232</v>
      </c>
      <c r="W370" s="744"/>
      <c r="X370" s="283">
        <f>X369+C20</f>
        <v>7453.98</v>
      </c>
      <c r="Y370" s="283">
        <f>SUM(X368:X370)/3</f>
        <v>7294.78</v>
      </c>
      <c r="AB370" s="283">
        <v>21.2</v>
      </c>
      <c r="AC370" s="283" t="s">
        <v>868</v>
      </c>
      <c r="AD370" s="374" t="s">
        <v>320</v>
      </c>
      <c r="AE370" s="283">
        <f>V361</f>
        <v>534</v>
      </c>
      <c r="AF370" s="374" t="s">
        <v>868</v>
      </c>
      <c r="AG370" s="283">
        <f>(AB370*AE370)</f>
        <v>11320.8</v>
      </c>
      <c r="AH370" s="283">
        <f>SUM(AG377:AG379)/3</f>
        <v>6923.93</v>
      </c>
    </row>
    <row r="371" spans="1:34" ht="24" customHeight="1">
      <c r="A371" s="792">
        <f t="shared" si="36"/>
        <v>205</v>
      </c>
      <c r="B371" s="374" t="s">
        <v>973</v>
      </c>
      <c r="H371" s="374" t="s">
        <v>380</v>
      </c>
      <c r="J371" s="374">
        <f>K371-K370</f>
        <v>159.19999999999999</v>
      </c>
      <c r="K371" s="283">
        <f>K370+C21</f>
        <v>7383.08</v>
      </c>
      <c r="O371" s="374" t="s">
        <v>441</v>
      </c>
      <c r="R371" s="283">
        <f>SUM(R363:R369)</f>
        <v>7714.14</v>
      </c>
      <c r="U371" s="283" t="s">
        <v>380</v>
      </c>
      <c r="W371" s="744"/>
      <c r="X371" s="283">
        <f>X370+C20</f>
        <v>7613.18</v>
      </c>
      <c r="AC371" s="283" t="s">
        <v>449</v>
      </c>
      <c r="AD371" s="374" t="s">
        <v>450</v>
      </c>
      <c r="AF371" s="374" t="s">
        <v>449</v>
      </c>
      <c r="AG371" s="283">
        <v>0</v>
      </c>
    </row>
    <row r="372" spans="1:34" ht="24" customHeight="1">
      <c r="A372" s="792">
        <f t="shared" si="36"/>
        <v>206</v>
      </c>
      <c r="B372" s="374" t="s">
        <v>240</v>
      </c>
      <c r="C372" s="283">
        <v>13.29</v>
      </c>
      <c r="D372" s="374" t="s">
        <v>769</v>
      </c>
      <c r="H372" s="374" t="s">
        <v>488</v>
      </c>
      <c r="J372" s="374">
        <f>K372-K371</f>
        <v>159.19999999999999</v>
      </c>
      <c r="K372" s="283">
        <f>K371+C21</f>
        <v>7542.28</v>
      </c>
      <c r="R372" s="748" t="s">
        <v>1586</v>
      </c>
      <c r="U372" s="283" t="s">
        <v>488</v>
      </c>
      <c r="W372" s="744"/>
      <c r="X372" s="283">
        <f>X371+C20</f>
        <v>7772.38</v>
      </c>
      <c r="AF372" s="374"/>
      <c r="AG372" s="748" t="s">
        <v>1586</v>
      </c>
    </row>
    <row r="373" spans="1:34" ht="24" customHeight="1">
      <c r="A373" s="792">
        <f t="shared" si="36"/>
        <v>207</v>
      </c>
      <c r="B373" s="374" t="s">
        <v>241</v>
      </c>
      <c r="C373" s="283">
        <v>18.02</v>
      </c>
      <c r="D373" s="374" t="s">
        <v>769</v>
      </c>
      <c r="H373" s="374" t="s">
        <v>1831</v>
      </c>
      <c r="J373" s="374">
        <f>SUM(K368+K369+K370)/3</f>
        <v>7064.68</v>
      </c>
      <c r="K373" s="283">
        <f>(K368+K369+K370+K371)/4</f>
        <v>7144.28</v>
      </c>
      <c r="O373" s="374" t="s">
        <v>552</v>
      </c>
      <c r="R373" s="283">
        <f>(R371/10)</f>
        <v>771.41</v>
      </c>
      <c r="U373" s="283" t="s">
        <v>1831</v>
      </c>
      <c r="W373" s="744">
        <v>2171.31</v>
      </c>
      <c r="X373" s="283">
        <f>SUM(X368:X371)/4</f>
        <v>7374.38</v>
      </c>
      <c r="AD373" s="374" t="s">
        <v>614</v>
      </c>
      <c r="AF373" s="374"/>
      <c r="AG373" s="283">
        <f>SUM(AG365:AG371)</f>
        <v>66858.320000000007</v>
      </c>
    </row>
    <row r="374" spans="1:34" ht="24" customHeight="1">
      <c r="A374" s="792">
        <f t="shared" si="36"/>
        <v>208</v>
      </c>
      <c r="B374" s="374" t="s">
        <v>242</v>
      </c>
      <c r="C374" s="283">
        <v>23.17</v>
      </c>
      <c r="D374" s="374" t="s">
        <v>769</v>
      </c>
      <c r="R374" s="748" t="s">
        <v>2055</v>
      </c>
      <c r="W374" s="744"/>
      <c r="AF374" s="374"/>
      <c r="AG374" s="748" t="s">
        <v>1586</v>
      </c>
    </row>
    <row r="375" spans="1:34" ht="24" customHeight="1">
      <c r="A375" s="792">
        <f t="shared" si="36"/>
        <v>209</v>
      </c>
      <c r="B375" s="374" t="s">
        <v>1832</v>
      </c>
      <c r="D375" s="374" t="s">
        <v>975</v>
      </c>
      <c r="H375" s="744" t="s">
        <v>1833</v>
      </c>
      <c r="N375" s="374" t="s">
        <v>2251</v>
      </c>
      <c r="O375" s="374" t="s">
        <v>1834</v>
      </c>
      <c r="U375" s="283" t="s">
        <v>1833</v>
      </c>
      <c r="W375" s="744"/>
      <c r="AD375" s="374" t="s">
        <v>773</v>
      </c>
      <c r="AF375" s="374"/>
      <c r="AG375" s="283">
        <f>(AG373/10)</f>
        <v>6685.83</v>
      </c>
    </row>
    <row r="376" spans="1:34" ht="24" customHeight="1">
      <c r="A376" s="792">
        <f t="shared" si="36"/>
        <v>210</v>
      </c>
      <c r="B376" s="374" t="s">
        <v>240</v>
      </c>
      <c r="C376" s="283">
        <v>9</v>
      </c>
      <c r="D376" s="374" t="s">
        <v>769</v>
      </c>
      <c r="H376" s="748" t="s">
        <v>1586</v>
      </c>
      <c r="O376" s="748" t="s">
        <v>1586</v>
      </c>
      <c r="U376" s="283" t="s">
        <v>1586</v>
      </c>
      <c r="W376" s="744"/>
      <c r="AF376" s="374"/>
      <c r="AG376" s="748" t="s">
        <v>2055</v>
      </c>
    </row>
    <row r="377" spans="1:34" ht="24" customHeight="1">
      <c r="A377" s="792">
        <f t="shared" si="36"/>
        <v>211</v>
      </c>
      <c r="B377" s="374" t="s">
        <v>241</v>
      </c>
      <c r="C377" s="283">
        <v>11.58</v>
      </c>
      <c r="D377" s="374" t="s">
        <v>769</v>
      </c>
      <c r="F377" s="774">
        <v>10</v>
      </c>
      <c r="G377" s="283" t="s">
        <v>2251</v>
      </c>
      <c r="H377" s="374" t="s">
        <v>2758</v>
      </c>
      <c r="M377" s="283">
        <v>0.05</v>
      </c>
      <c r="N377" s="374" t="s">
        <v>869</v>
      </c>
      <c r="O377" s="374" t="s">
        <v>2004</v>
      </c>
      <c r="P377" s="283">
        <f>(C85)</f>
        <v>1348</v>
      </c>
      <c r="Q377" s="374" t="s">
        <v>869</v>
      </c>
      <c r="R377" s="283">
        <f>(M377*P377)</f>
        <v>67.400000000000006</v>
      </c>
      <c r="S377" s="746">
        <v>10</v>
      </c>
      <c r="T377" s="283" t="s">
        <v>2251</v>
      </c>
      <c r="U377" s="283" t="s">
        <v>1416</v>
      </c>
      <c r="W377" s="744"/>
      <c r="AD377" s="374" t="s">
        <v>386</v>
      </c>
      <c r="AF377" s="374"/>
      <c r="AG377" s="283">
        <f>(AG375+C19)</f>
        <v>6764.73</v>
      </c>
    </row>
    <row r="378" spans="1:34" ht="24" customHeight="1">
      <c r="A378" s="792">
        <f t="shared" si="36"/>
        <v>212</v>
      </c>
      <c r="B378" s="374" t="s">
        <v>242</v>
      </c>
      <c r="C378" s="283">
        <v>14.15</v>
      </c>
      <c r="D378" s="374" t="s">
        <v>769</v>
      </c>
      <c r="H378" s="283" t="str">
        <f>H310</f>
        <v>Bricks of size 22x11x7 cm</v>
      </c>
      <c r="M378" s="283">
        <v>1.1000000000000001</v>
      </c>
      <c r="N378" s="374" t="s">
        <v>868</v>
      </c>
      <c r="O378" s="374" t="s">
        <v>1712</v>
      </c>
      <c r="P378" s="283">
        <f>(C11)</f>
        <v>932</v>
      </c>
      <c r="Q378" s="374" t="s">
        <v>868</v>
      </c>
      <c r="R378" s="283">
        <f>(M378*P378)</f>
        <v>1025.2</v>
      </c>
      <c r="U378" s="283" t="s">
        <v>427</v>
      </c>
      <c r="W378" s="744"/>
      <c r="AD378" s="374" t="s">
        <v>388</v>
      </c>
      <c r="AF378" s="374"/>
      <c r="AG378" s="283">
        <f>(AG377+C20)</f>
        <v>6923.93</v>
      </c>
    </row>
    <row r="379" spans="1:34" ht="24" customHeight="1">
      <c r="A379" s="792">
        <f t="shared" si="36"/>
        <v>213</v>
      </c>
      <c r="B379" s="374" t="s">
        <v>1835</v>
      </c>
      <c r="H379" s="748" t="s">
        <v>1586</v>
      </c>
      <c r="M379" s="283">
        <v>0.3</v>
      </c>
      <c r="N379" s="374" t="s">
        <v>868</v>
      </c>
      <c r="O379" s="374" t="s">
        <v>1902</v>
      </c>
      <c r="P379" s="283">
        <f>(C12)</f>
        <v>651</v>
      </c>
      <c r="Q379" s="374" t="s">
        <v>868</v>
      </c>
      <c r="R379" s="283">
        <f>(M379*P379)</f>
        <v>195.3</v>
      </c>
      <c r="U379" s="283" t="s">
        <v>1586</v>
      </c>
      <c r="W379" s="744"/>
      <c r="AD379" s="374" t="s">
        <v>2232</v>
      </c>
      <c r="AF379" s="374"/>
      <c r="AG379" s="283">
        <f>(AG378+C20)</f>
        <v>7083.13</v>
      </c>
    </row>
    <row r="380" spans="1:34" ht="24" customHeight="1">
      <c r="A380" s="792">
        <f t="shared" si="36"/>
        <v>214</v>
      </c>
      <c r="B380" s="374" t="s">
        <v>240</v>
      </c>
      <c r="C380" s="283">
        <v>4.29</v>
      </c>
      <c r="D380" s="374" t="s">
        <v>769</v>
      </c>
      <c r="F380" s="283">
        <f>F312</f>
        <v>4800</v>
      </c>
      <c r="G380" s="283" t="s">
        <v>1425</v>
      </c>
      <c r="H380" s="283" t="str">
        <f>H310</f>
        <v>Bricks of size 22x11x7 cm</v>
      </c>
      <c r="I380" s="283">
        <f>(C81)</f>
        <v>5840.84</v>
      </c>
      <c r="J380" s="374" t="s">
        <v>1594</v>
      </c>
      <c r="K380" s="283">
        <f>(F380*I380)/1000</f>
        <v>28036.03</v>
      </c>
      <c r="M380" s="283">
        <v>1.9</v>
      </c>
      <c r="N380" s="374" t="s">
        <v>868</v>
      </c>
      <c r="O380" s="374" t="s">
        <v>320</v>
      </c>
      <c r="P380" s="283">
        <f>(C13)</f>
        <v>534</v>
      </c>
      <c r="Q380" s="374" t="s">
        <v>868</v>
      </c>
      <c r="R380" s="283">
        <f>(M380*P380)</f>
        <v>1014.6</v>
      </c>
      <c r="S380" s="746">
        <v>4600</v>
      </c>
      <c r="T380" s="283" t="s">
        <v>1425</v>
      </c>
      <c r="U380" s="283" t="s">
        <v>427</v>
      </c>
      <c r="V380" s="283">
        <f>AC41</f>
        <v>6595</v>
      </c>
      <c r="W380" s="744" t="s">
        <v>1594</v>
      </c>
      <c r="X380" s="283">
        <f>S380*V380/1000</f>
        <v>30337</v>
      </c>
      <c r="AD380" s="374" t="s">
        <v>380</v>
      </c>
      <c r="AF380" s="374"/>
      <c r="AG380" s="283">
        <f>AG379+C20</f>
        <v>7242.33</v>
      </c>
    </row>
    <row r="381" spans="1:34" ht="24" customHeight="1">
      <c r="A381" s="792">
        <f t="shared" si="36"/>
        <v>215</v>
      </c>
      <c r="B381" s="374" t="s">
        <v>241</v>
      </c>
      <c r="C381" s="283">
        <v>6.01</v>
      </c>
      <c r="D381" s="374" t="s">
        <v>769</v>
      </c>
      <c r="F381" s="283">
        <v>1.59</v>
      </c>
      <c r="G381" s="283" t="s">
        <v>869</v>
      </c>
      <c r="H381" s="374" t="s">
        <v>1307</v>
      </c>
      <c r="I381" s="283">
        <f>(K40)</f>
        <v>4364.46</v>
      </c>
      <c r="J381" s="374" t="s">
        <v>869</v>
      </c>
      <c r="K381" s="283">
        <f>(F381*I381)</f>
        <v>6939.49</v>
      </c>
      <c r="N381" s="374" t="s">
        <v>449</v>
      </c>
      <c r="O381" s="374" t="s">
        <v>1836</v>
      </c>
      <c r="P381" s="374" t="s">
        <v>975</v>
      </c>
      <c r="Q381" s="374" t="s">
        <v>449</v>
      </c>
      <c r="R381" s="283">
        <v>1.46</v>
      </c>
      <c r="S381" s="746">
        <v>1.59</v>
      </c>
      <c r="T381" s="283" t="s">
        <v>869</v>
      </c>
      <c r="U381" s="283" t="s">
        <v>1307</v>
      </c>
      <c r="V381" s="283">
        <f>I381</f>
        <v>4364.46</v>
      </c>
      <c r="W381" s="744" t="s">
        <v>869</v>
      </c>
      <c r="X381" s="283">
        <f>V381*S381</f>
        <v>6939.49</v>
      </c>
      <c r="AD381" s="374" t="s">
        <v>488</v>
      </c>
      <c r="AF381" s="374"/>
      <c r="AG381" s="283">
        <f>AG380+C20</f>
        <v>7401.53</v>
      </c>
    </row>
    <row r="382" spans="1:34" ht="24" customHeight="1">
      <c r="A382" s="792">
        <f t="shared" si="36"/>
        <v>216</v>
      </c>
      <c r="B382" s="374" t="s">
        <v>242</v>
      </c>
      <c r="C382" s="283">
        <v>6.86</v>
      </c>
      <c r="D382" s="374" t="s">
        <v>769</v>
      </c>
      <c r="F382" s="283">
        <v>7</v>
      </c>
      <c r="G382" s="283" t="s">
        <v>868</v>
      </c>
      <c r="H382" s="374" t="s">
        <v>2009</v>
      </c>
      <c r="I382" s="283">
        <f>(C10)</f>
        <v>999</v>
      </c>
      <c r="J382" s="374" t="s">
        <v>868</v>
      </c>
      <c r="K382" s="283">
        <f>(F382*I382)</f>
        <v>6993</v>
      </c>
      <c r="R382" s="748" t="s">
        <v>1586</v>
      </c>
      <c r="S382" s="746">
        <v>7</v>
      </c>
      <c r="T382" s="283" t="s">
        <v>868</v>
      </c>
      <c r="U382" s="283" t="s">
        <v>2009</v>
      </c>
      <c r="V382" s="283">
        <f>I382</f>
        <v>999</v>
      </c>
      <c r="W382" s="744" t="s">
        <v>868</v>
      </c>
      <c r="X382" s="283">
        <f>V382*S382</f>
        <v>6993</v>
      </c>
      <c r="AD382" s="374" t="s">
        <v>1831</v>
      </c>
      <c r="AF382" s="374"/>
      <c r="AG382" s="283">
        <f>(AG377+AG378+AG379+AG380)/4</f>
        <v>7003.53</v>
      </c>
    </row>
    <row r="383" spans="1:34" ht="24" customHeight="1">
      <c r="A383" s="792">
        <f t="shared" si="36"/>
        <v>217</v>
      </c>
      <c r="B383" s="374" t="s">
        <v>1837</v>
      </c>
      <c r="D383" s="374" t="s">
        <v>975</v>
      </c>
      <c r="F383" s="283">
        <v>7.1</v>
      </c>
      <c r="G383" s="283" t="s">
        <v>868</v>
      </c>
      <c r="H383" s="374" t="s">
        <v>1712</v>
      </c>
      <c r="I383" s="283">
        <f>(C11)</f>
        <v>932</v>
      </c>
      <c r="J383" s="374" t="s">
        <v>868</v>
      </c>
      <c r="K383" s="283">
        <f>(F383*I383)</f>
        <v>6617.2</v>
      </c>
      <c r="O383" s="374" t="s">
        <v>1838</v>
      </c>
      <c r="R383" s="283">
        <f>SUM(R376:R381)</f>
        <v>2303.96</v>
      </c>
      <c r="S383" s="746">
        <v>7.1</v>
      </c>
      <c r="T383" s="283" t="s">
        <v>868</v>
      </c>
      <c r="U383" s="283" t="s">
        <v>1712</v>
      </c>
      <c r="V383" s="283">
        <f>I383</f>
        <v>932</v>
      </c>
      <c r="W383" s="744" t="s">
        <v>868</v>
      </c>
      <c r="X383" s="283">
        <f>V383*S383</f>
        <v>6617.2</v>
      </c>
      <c r="AF383" s="374"/>
    </row>
    <row r="384" spans="1:34" ht="24" customHeight="1">
      <c r="A384" s="792">
        <f t="shared" si="36"/>
        <v>218</v>
      </c>
      <c r="B384" s="374" t="s">
        <v>240</v>
      </c>
      <c r="C384" s="283">
        <v>14.91</v>
      </c>
      <c r="D384" s="374" t="s">
        <v>769</v>
      </c>
      <c r="F384" s="283">
        <v>7.1</v>
      </c>
      <c r="G384" s="283" t="s">
        <v>868</v>
      </c>
      <c r="H384" s="374" t="s">
        <v>1902</v>
      </c>
      <c r="I384" s="283">
        <f>(C12)</f>
        <v>651</v>
      </c>
      <c r="J384" s="374" t="s">
        <v>868</v>
      </c>
      <c r="K384" s="283">
        <f>(F384*I384)</f>
        <v>4622.1000000000004</v>
      </c>
      <c r="R384" s="748" t="s">
        <v>1586</v>
      </c>
      <c r="S384" s="746">
        <v>7.1</v>
      </c>
      <c r="T384" s="283" t="s">
        <v>868</v>
      </c>
      <c r="U384" s="283" t="s">
        <v>1902</v>
      </c>
      <c r="V384" s="283">
        <f>I384</f>
        <v>651</v>
      </c>
      <c r="W384" s="744" t="s">
        <v>868</v>
      </c>
      <c r="X384" s="283">
        <f>V384*S384</f>
        <v>4622.1000000000004</v>
      </c>
      <c r="AD384" s="744" t="s">
        <v>1833</v>
      </c>
      <c r="AF384" s="374"/>
    </row>
    <row r="385" spans="1:45" ht="24" customHeight="1">
      <c r="A385" s="792">
        <f t="shared" si="36"/>
        <v>219</v>
      </c>
      <c r="B385" s="374" t="s">
        <v>241</v>
      </c>
      <c r="C385" s="283">
        <v>17.579999999999998</v>
      </c>
      <c r="D385" s="374" t="s">
        <v>769</v>
      </c>
      <c r="F385" s="283">
        <v>21.2</v>
      </c>
      <c r="G385" s="283" t="s">
        <v>868</v>
      </c>
      <c r="H385" s="374" t="s">
        <v>320</v>
      </c>
      <c r="I385" s="283">
        <f>(C13)</f>
        <v>534</v>
      </c>
      <c r="J385" s="374" t="s">
        <v>868</v>
      </c>
      <c r="K385" s="283">
        <f>(F385*I385)</f>
        <v>11320.8</v>
      </c>
      <c r="O385" s="374" t="s">
        <v>552</v>
      </c>
      <c r="R385" s="283">
        <f>(R383/100)</f>
        <v>23.04</v>
      </c>
      <c r="S385" s="746">
        <v>21.2</v>
      </c>
      <c r="T385" s="283" t="s">
        <v>868</v>
      </c>
      <c r="U385" s="283" t="s">
        <v>320</v>
      </c>
      <c r="V385" s="283">
        <f>I385</f>
        <v>534</v>
      </c>
      <c r="W385" s="744" t="s">
        <v>868</v>
      </c>
      <c r="X385" s="283">
        <f>V385*S385</f>
        <v>11320.8</v>
      </c>
      <c r="AD385" s="748" t="s">
        <v>1586</v>
      </c>
      <c r="AF385" s="374"/>
    </row>
    <row r="386" spans="1:45" ht="24" customHeight="1">
      <c r="A386" s="792">
        <f t="shared" si="36"/>
        <v>220</v>
      </c>
      <c r="B386" s="374" t="s">
        <v>242</v>
      </c>
      <c r="C386" s="283">
        <v>19.3</v>
      </c>
      <c r="D386" s="374" t="s">
        <v>769</v>
      </c>
      <c r="G386" s="283" t="s">
        <v>449</v>
      </c>
      <c r="H386" s="374" t="s">
        <v>450</v>
      </c>
      <c r="I386" s="374" t="s">
        <v>975</v>
      </c>
      <c r="J386" s="374" t="s">
        <v>449</v>
      </c>
      <c r="K386" s="283">
        <v>0</v>
      </c>
      <c r="R386" s="748" t="s">
        <v>2055</v>
      </c>
      <c r="T386" s="283" t="s">
        <v>449</v>
      </c>
      <c r="U386" s="283" t="s">
        <v>450</v>
      </c>
      <c r="V386" s="283" t="s">
        <v>975</v>
      </c>
      <c r="W386" s="744" t="s">
        <v>449</v>
      </c>
      <c r="X386" s="283">
        <v>0</v>
      </c>
      <c r="AB386" s="774">
        <v>10</v>
      </c>
      <c r="AC386" s="283" t="s">
        <v>2251</v>
      </c>
      <c r="AD386" s="374" t="s">
        <v>814</v>
      </c>
      <c r="AF386" s="374"/>
      <c r="AN386" s="774"/>
      <c r="AO386" s="283" t="s">
        <v>2251</v>
      </c>
      <c r="AP386" s="374" t="s">
        <v>4733</v>
      </c>
      <c r="AR386" s="374"/>
    </row>
    <row r="387" spans="1:45" ht="24" customHeight="1">
      <c r="A387" s="792">
        <f t="shared" si="36"/>
        <v>221</v>
      </c>
      <c r="B387" s="374" t="s">
        <v>1113</v>
      </c>
      <c r="K387" s="748" t="s">
        <v>1586</v>
      </c>
      <c r="W387" s="744"/>
      <c r="X387" s="785" t="s">
        <v>429</v>
      </c>
      <c r="AD387" s="283" t="str">
        <f>AD310</f>
        <v>Bricks of size 23x11.4x7.5 cm</v>
      </c>
      <c r="AF387" s="374"/>
      <c r="AR387" s="374"/>
    </row>
    <row r="388" spans="1:45" ht="24" customHeight="1">
      <c r="A388" s="792">
        <f t="shared" si="36"/>
        <v>222</v>
      </c>
      <c r="B388" s="374" t="s">
        <v>240</v>
      </c>
      <c r="C388" s="283">
        <v>15.87</v>
      </c>
      <c r="D388" s="374" t="s">
        <v>769</v>
      </c>
      <c r="H388" s="374" t="s">
        <v>614</v>
      </c>
      <c r="K388" s="283">
        <f>SUM(K380:K386)</f>
        <v>64528.62</v>
      </c>
      <c r="U388" s="283" t="s">
        <v>614</v>
      </c>
      <c r="W388" s="744"/>
      <c r="X388" s="283">
        <f>SUM(X380:X387)</f>
        <v>66829.59</v>
      </c>
      <c r="AD388" s="748" t="s">
        <v>1586</v>
      </c>
      <c r="AF388" s="374"/>
      <c r="AP388" s="748" t="s">
        <v>1586</v>
      </c>
      <c r="AR388" s="374"/>
    </row>
    <row r="389" spans="1:45" ht="35.25" customHeight="1">
      <c r="A389" s="792">
        <f t="shared" si="36"/>
        <v>223</v>
      </c>
      <c r="B389" s="374" t="s">
        <v>241</v>
      </c>
      <c r="C389" s="283">
        <v>20.16</v>
      </c>
      <c r="D389" s="374" t="s">
        <v>769</v>
      </c>
      <c r="K389" s="748" t="s">
        <v>1586</v>
      </c>
      <c r="N389" s="374" t="s">
        <v>675</v>
      </c>
      <c r="O389" s="374" t="s">
        <v>1114</v>
      </c>
      <c r="W389" s="744"/>
      <c r="X389" s="785" t="s">
        <v>429</v>
      </c>
      <c r="AB389" s="283">
        <f>AB312</f>
        <v>4240</v>
      </c>
      <c r="AC389" s="283" t="s">
        <v>1425</v>
      </c>
      <c r="AD389" s="283" t="str">
        <f>AD310</f>
        <v>Bricks of size 23x11.4x7.5 cm</v>
      </c>
      <c r="AE389" s="283">
        <f>AC42</f>
        <v>6795</v>
      </c>
      <c r="AF389" s="374" t="s">
        <v>1594</v>
      </c>
      <c r="AG389" s="283">
        <f>(AB389*AE389)/1000</f>
        <v>28810.799999999999</v>
      </c>
      <c r="AN389" s="283">
        <v>91</v>
      </c>
      <c r="AO389" s="283" t="s">
        <v>1425</v>
      </c>
      <c r="AP389" s="786" t="s">
        <v>4734</v>
      </c>
      <c r="AQ389" s="283">
        <v>45.35</v>
      </c>
      <c r="AR389" s="374" t="s">
        <v>1398</v>
      </c>
      <c r="AS389" s="283">
        <f>(AN389*AQ389)</f>
        <v>4126.8500000000004</v>
      </c>
    </row>
    <row r="390" spans="1:45" ht="24" customHeight="1">
      <c r="A390" s="792">
        <f t="shared" si="36"/>
        <v>224</v>
      </c>
      <c r="B390" s="374" t="s">
        <v>242</v>
      </c>
      <c r="C390" s="283">
        <v>22.31</v>
      </c>
      <c r="D390" s="374" t="s">
        <v>769</v>
      </c>
      <c r="H390" s="374" t="s">
        <v>773</v>
      </c>
      <c r="K390" s="283">
        <f>(K388/10)</f>
        <v>6452.86</v>
      </c>
      <c r="O390" s="748" t="s">
        <v>1586</v>
      </c>
      <c r="U390" s="283" t="s">
        <v>773</v>
      </c>
      <c r="W390" s="744"/>
      <c r="X390" s="283">
        <f>X388/10</f>
        <v>6682.96</v>
      </c>
      <c r="AB390" s="283">
        <v>1.27</v>
      </c>
      <c r="AC390" s="283" t="s">
        <v>869</v>
      </c>
      <c r="AD390" s="374" t="s">
        <v>1307</v>
      </c>
      <c r="AE390" s="283">
        <f>V381</f>
        <v>4364.46</v>
      </c>
      <c r="AF390" s="374" t="s">
        <v>869</v>
      </c>
      <c r="AG390" s="283">
        <f>(AB390*AE390)</f>
        <v>5542.86</v>
      </c>
      <c r="AN390" s="283">
        <v>0.11</v>
      </c>
      <c r="AO390" s="283" t="s">
        <v>869</v>
      </c>
      <c r="AP390" s="374" t="s">
        <v>1307</v>
      </c>
      <c r="AQ390" s="283">
        <f>AE390</f>
        <v>4364.46</v>
      </c>
      <c r="AR390" s="374" t="s">
        <v>869</v>
      </c>
      <c r="AS390" s="283">
        <f>(AN390*AQ390)</f>
        <v>480.09</v>
      </c>
    </row>
    <row r="391" spans="1:45" ht="24" customHeight="1">
      <c r="A391" s="792">
        <f t="shared" si="36"/>
        <v>225</v>
      </c>
      <c r="B391" s="374" t="s">
        <v>2227</v>
      </c>
      <c r="D391" s="374" t="s">
        <v>975</v>
      </c>
      <c r="K391" s="748" t="s">
        <v>2055</v>
      </c>
      <c r="M391" s="283">
        <v>7.0000000000000007E-2</v>
      </c>
      <c r="N391" s="374" t="s">
        <v>869</v>
      </c>
      <c r="O391" s="374" t="s">
        <v>2004</v>
      </c>
      <c r="P391" s="283">
        <f>(C85)</f>
        <v>1348</v>
      </c>
      <c r="Q391" s="374" t="s">
        <v>869</v>
      </c>
      <c r="R391" s="283">
        <f>(M391*P391)</f>
        <v>94.36</v>
      </c>
      <c r="W391" s="744"/>
      <c r="X391" s="785" t="s">
        <v>32</v>
      </c>
      <c r="AB391" s="283">
        <v>7</v>
      </c>
      <c r="AC391" s="283" t="s">
        <v>868</v>
      </c>
      <c r="AD391" s="374" t="s">
        <v>2009</v>
      </c>
      <c r="AE391" s="283">
        <f>V382</f>
        <v>999</v>
      </c>
      <c r="AF391" s="374" t="s">
        <v>868</v>
      </c>
      <c r="AG391" s="283">
        <f>(AB391*AE391)</f>
        <v>6993</v>
      </c>
      <c r="AN391" s="283">
        <v>1.25</v>
      </c>
      <c r="AO391" s="283" t="s">
        <v>868</v>
      </c>
      <c r="AP391" s="374" t="s">
        <v>2009</v>
      </c>
      <c r="AQ391" s="283">
        <f>AE391</f>
        <v>999</v>
      </c>
      <c r="AR391" s="374" t="s">
        <v>868</v>
      </c>
      <c r="AS391" s="283">
        <f>(AN391*AQ391)</f>
        <v>1248.75</v>
      </c>
    </row>
    <row r="392" spans="1:45" ht="24" customHeight="1">
      <c r="A392" s="792">
        <f t="shared" si="36"/>
        <v>226</v>
      </c>
      <c r="B392" s="374" t="s">
        <v>5283</v>
      </c>
      <c r="C392" s="283">
        <v>69.8</v>
      </c>
      <c r="D392" s="374" t="s">
        <v>1771</v>
      </c>
      <c r="M392" s="283">
        <v>1.6</v>
      </c>
      <c r="N392" s="374" t="s">
        <v>868</v>
      </c>
      <c r="O392" s="374" t="s">
        <v>1712</v>
      </c>
      <c r="P392" s="283">
        <f>(C11)</f>
        <v>932</v>
      </c>
      <c r="Q392" s="374" t="s">
        <v>868</v>
      </c>
      <c r="R392" s="283">
        <f>(M392*P392)</f>
        <v>1491.2</v>
      </c>
      <c r="W392" s="744"/>
      <c r="AB392" s="283">
        <v>7.1</v>
      </c>
      <c r="AC392" s="283" t="s">
        <v>868</v>
      </c>
      <c r="AD392" s="374" t="s">
        <v>1712</v>
      </c>
      <c r="AE392" s="283">
        <f>V383</f>
        <v>932</v>
      </c>
      <c r="AF392" s="374" t="s">
        <v>868</v>
      </c>
      <c r="AG392" s="283">
        <f>(AB392*AE392)</f>
        <v>6617.2</v>
      </c>
      <c r="AP392" s="374"/>
      <c r="AR392" s="374"/>
    </row>
    <row r="393" spans="1:45" ht="24" customHeight="1">
      <c r="A393" s="792">
        <f t="shared" si="36"/>
        <v>227</v>
      </c>
      <c r="B393" s="374" t="s">
        <v>1116</v>
      </c>
      <c r="C393" s="283">
        <v>98.6</v>
      </c>
      <c r="D393" s="374" t="s">
        <v>1771</v>
      </c>
      <c r="G393" s="283" t="s">
        <v>675</v>
      </c>
      <c r="H393" s="374" t="s">
        <v>2908</v>
      </c>
      <c r="M393" s="283">
        <v>0.5</v>
      </c>
      <c r="N393" s="374" t="s">
        <v>868</v>
      </c>
      <c r="O393" s="374" t="s">
        <v>1902</v>
      </c>
      <c r="P393" s="283">
        <f>(C12)</f>
        <v>651</v>
      </c>
      <c r="Q393" s="374" t="s">
        <v>868</v>
      </c>
      <c r="R393" s="283">
        <f>(M393*P393)</f>
        <v>325.5</v>
      </c>
      <c r="T393" s="283" t="s">
        <v>675</v>
      </c>
      <c r="U393" s="283" t="s">
        <v>430</v>
      </c>
      <c r="W393" s="744"/>
      <c r="AB393" s="283">
        <v>7.1</v>
      </c>
      <c r="AC393" s="283" t="s">
        <v>868</v>
      </c>
      <c r="AD393" s="374" t="s">
        <v>1902</v>
      </c>
      <c r="AE393" s="283">
        <f>V384</f>
        <v>651</v>
      </c>
      <c r="AF393" s="374" t="s">
        <v>868</v>
      </c>
      <c r="AG393" s="283">
        <f>(AB393*AE393)</f>
        <v>4622.1000000000004</v>
      </c>
      <c r="AN393" s="283">
        <v>0.88</v>
      </c>
      <c r="AO393" s="283" t="s">
        <v>868</v>
      </c>
      <c r="AP393" s="374" t="s">
        <v>1902</v>
      </c>
      <c r="AQ393" s="283">
        <f>AE393</f>
        <v>651</v>
      </c>
      <c r="AR393" s="374" t="s">
        <v>868</v>
      </c>
      <c r="AS393" s="283">
        <f>(AN393*AQ393)</f>
        <v>572.88</v>
      </c>
    </row>
    <row r="394" spans="1:45" ht="24" customHeight="1">
      <c r="A394" s="792">
        <f t="shared" si="36"/>
        <v>228</v>
      </c>
      <c r="B394" s="374" t="s">
        <v>1117</v>
      </c>
      <c r="C394" s="283">
        <v>128</v>
      </c>
      <c r="D394" s="374" t="s">
        <v>1771</v>
      </c>
      <c r="H394" s="748" t="s">
        <v>1586</v>
      </c>
      <c r="M394" s="283">
        <v>2.7</v>
      </c>
      <c r="N394" s="374" t="s">
        <v>868</v>
      </c>
      <c r="O394" s="374" t="s">
        <v>320</v>
      </c>
      <c r="P394" s="283">
        <f>(C13)</f>
        <v>534</v>
      </c>
      <c r="Q394" s="374" t="s">
        <v>868</v>
      </c>
      <c r="R394" s="283">
        <f>(M394*P394)</f>
        <v>1441.8</v>
      </c>
      <c r="U394" s="283" t="s">
        <v>1586</v>
      </c>
      <c r="W394" s="744"/>
      <c r="AB394" s="283">
        <v>21.2</v>
      </c>
      <c r="AC394" s="283" t="s">
        <v>868</v>
      </c>
      <c r="AD394" s="374" t="s">
        <v>320</v>
      </c>
      <c r="AE394" s="283">
        <f>V385</f>
        <v>534</v>
      </c>
      <c r="AF394" s="374" t="s">
        <v>868</v>
      </c>
      <c r="AG394" s="283">
        <f>(AB394*AE394)</f>
        <v>11320.8</v>
      </c>
      <c r="AN394" s="283">
        <v>0.88</v>
      </c>
      <c r="AO394" s="283" t="s">
        <v>868</v>
      </c>
      <c r="AP394" s="374" t="s">
        <v>320</v>
      </c>
      <c r="AQ394" s="283">
        <f>AE394</f>
        <v>534</v>
      </c>
      <c r="AR394" s="374" t="s">
        <v>868</v>
      </c>
      <c r="AS394" s="283">
        <f>(AN394*AQ394)</f>
        <v>469.92</v>
      </c>
    </row>
    <row r="395" spans="1:45" ht="24" customHeight="1">
      <c r="A395" s="792">
        <f t="shared" si="36"/>
        <v>229</v>
      </c>
      <c r="B395" s="374" t="s">
        <v>1118</v>
      </c>
      <c r="C395" s="283">
        <v>151.4</v>
      </c>
      <c r="D395" s="374" t="s">
        <v>1771</v>
      </c>
      <c r="F395" s="283">
        <v>1.1000000000000001</v>
      </c>
      <c r="G395" s="283" t="s">
        <v>869</v>
      </c>
      <c r="H395" s="374" t="s">
        <v>1119</v>
      </c>
      <c r="I395" s="283">
        <f>(K390)</f>
        <v>6452.86</v>
      </c>
      <c r="J395" s="374" t="s">
        <v>869</v>
      </c>
      <c r="K395" s="283">
        <f>(F395*I395)</f>
        <v>7098.15</v>
      </c>
      <c r="N395" s="374" t="s">
        <v>449</v>
      </c>
      <c r="O395" s="374" t="s">
        <v>1836</v>
      </c>
      <c r="P395" s="374" t="s">
        <v>975</v>
      </c>
      <c r="Q395" s="374" t="s">
        <v>449</v>
      </c>
      <c r="R395" s="283">
        <v>2.09</v>
      </c>
      <c r="S395" s="746">
        <v>1.1200000000000001</v>
      </c>
      <c r="T395" s="283" t="s">
        <v>869</v>
      </c>
      <c r="U395" s="283" t="s">
        <v>1119</v>
      </c>
      <c r="V395" s="283">
        <f>X390</f>
        <v>6682.96</v>
      </c>
      <c r="W395" s="744" t="s">
        <v>869</v>
      </c>
      <c r="X395" s="283">
        <f>V395*S395</f>
        <v>7484.92</v>
      </c>
      <c r="AC395" s="283" t="s">
        <v>449</v>
      </c>
      <c r="AD395" s="374" t="s">
        <v>450</v>
      </c>
      <c r="AE395" s="374" t="s">
        <v>975</v>
      </c>
      <c r="AF395" s="374" t="s">
        <v>449</v>
      </c>
      <c r="AG395" s="283">
        <v>0</v>
      </c>
      <c r="AO395" s="283" t="s">
        <v>449</v>
      </c>
      <c r="AP395" s="374" t="s">
        <v>450</v>
      </c>
      <c r="AQ395" s="374" t="s">
        <v>975</v>
      </c>
      <c r="AR395" s="374" t="s">
        <v>449</v>
      </c>
      <c r="AS395" s="283">
        <v>0</v>
      </c>
    </row>
    <row r="396" spans="1:45" ht="24" customHeight="1">
      <c r="A396" s="792">
        <f t="shared" si="36"/>
        <v>230</v>
      </c>
      <c r="B396" s="374" t="s">
        <v>1120</v>
      </c>
      <c r="C396" s="283">
        <v>163</v>
      </c>
      <c r="D396" s="374" t="s">
        <v>1771</v>
      </c>
      <c r="F396" s="283">
        <v>1</v>
      </c>
      <c r="G396" s="283" t="s">
        <v>769</v>
      </c>
      <c r="H396" s="374" t="s">
        <v>2009</v>
      </c>
      <c r="I396" s="283">
        <f>(C10)</f>
        <v>999</v>
      </c>
      <c r="J396" s="374" t="s">
        <v>868</v>
      </c>
      <c r="K396" s="283">
        <f>(F396*I396)</f>
        <v>999</v>
      </c>
      <c r="R396" s="748" t="s">
        <v>1586</v>
      </c>
      <c r="S396" s="746">
        <v>1</v>
      </c>
      <c r="T396" s="283" t="s">
        <v>769</v>
      </c>
      <c r="U396" s="283" t="s">
        <v>2009</v>
      </c>
      <c r="V396" s="283">
        <f>I396</f>
        <v>999</v>
      </c>
      <c r="W396" s="744" t="s">
        <v>868</v>
      </c>
      <c r="X396" s="283">
        <f>V396*S396</f>
        <v>999</v>
      </c>
      <c r="AF396" s="374"/>
      <c r="AG396" s="748" t="s">
        <v>1586</v>
      </c>
      <c r="AR396" s="374"/>
      <c r="AS396" s="748" t="s">
        <v>1586</v>
      </c>
    </row>
    <row r="397" spans="1:45" ht="24" customHeight="1">
      <c r="A397" s="792">
        <f t="shared" si="36"/>
        <v>231</v>
      </c>
      <c r="B397" s="374" t="s">
        <v>240</v>
      </c>
      <c r="C397" s="283">
        <v>209</v>
      </c>
      <c r="D397" s="374" t="s">
        <v>1771</v>
      </c>
      <c r="G397" s="283" t="s">
        <v>449</v>
      </c>
      <c r="H397" s="374" t="s">
        <v>450</v>
      </c>
      <c r="I397" s="374" t="s">
        <v>975</v>
      </c>
      <c r="J397" s="374" t="s">
        <v>449</v>
      </c>
      <c r="K397" s="283">
        <v>0</v>
      </c>
      <c r="O397" s="374" t="s">
        <v>1838</v>
      </c>
      <c r="R397" s="283">
        <f>SUM(R390:R395)</f>
        <v>3354.95</v>
      </c>
      <c r="T397" s="283" t="s">
        <v>449</v>
      </c>
      <c r="U397" s="283" t="s">
        <v>450</v>
      </c>
      <c r="V397" s="283" t="s">
        <v>975</v>
      </c>
      <c r="W397" s="744" t="s">
        <v>449</v>
      </c>
      <c r="X397" s="283">
        <v>0</v>
      </c>
      <c r="AD397" s="374" t="s">
        <v>614</v>
      </c>
      <c r="AF397" s="374"/>
      <c r="AG397" s="283">
        <f>SUM(AG389:AG395)</f>
        <v>63906.76</v>
      </c>
      <c r="AP397" s="374" t="s">
        <v>4735</v>
      </c>
      <c r="AR397" s="374"/>
      <c r="AS397" s="283">
        <f>SUM(AS389:AS395)</f>
        <v>6898.49</v>
      </c>
    </row>
    <row r="398" spans="1:45" ht="24" customHeight="1">
      <c r="A398" s="792">
        <f t="shared" si="36"/>
        <v>232</v>
      </c>
      <c r="B398" s="374" t="s">
        <v>4026</v>
      </c>
      <c r="C398" s="283">
        <v>244.4</v>
      </c>
      <c r="D398" s="374" t="s">
        <v>1771</v>
      </c>
      <c r="K398" s="748" t="s">
        <v>1586</v>
      </c>
      <c r="R398" s="748" t="s">
        <v>1586</v>
      </c>
      <c r="W398" s="744"/>
      <c r="X398" s="785" t="s">
        <v>429</v>
      </c>
      <c r="AF398" s="374"/>
      <c r="AG398" s="748" t="s">
        <v>1586</v>
      </c>
      <c r="AR398" s="374"/>
      <c r="AS398" s="748" t="s">
        <v>1586</v>
      </c>
    </row>
    <row r="399" spans="1:45" ht="24" customHeight="1">
      <c r="A399" s="792">
        <f t="shared" si="36"/>
        <v>233</v>
      </c>
      <c r="B399" s="374" t="s">
        <v>5284</v>
      </c>
      <c r="H399" s="374" t="s">
        <v>441</v>
      </c>
      <c r="K399" s="283">
        <f>SUM(K395:K397)</f>
        <v>8097.15</v>
      </c>
      <c r="O399" s="374" t="s">
        <v>552</v>
      </c>
      <c r="R399" s="283">
        <f>(R397/100)</f>
        <v>33.549999999999997</v>
      </c>
      <c r="U399" s="283" t="s">
        <v>441</v>
      </c>
      <c r="W399" s="744"/>
      <c r="X399" s="283">
        <f>SUM(X395:X397)</f>
        <v>8483.92</v>
      </c>
      <c r="AD399" s="374" t="s">
        <v>773</v>
      </c>
      <c r="AF399" s="374"/>
      <c r="AG399" s="283">
        <f>(AG397/10)</f>
        <v>6390.68</v>
      </c>
      <c r="AP399" s="374" t="s">
        <v>552</v>
      </c>
      <c r="AR399" s="374"/>
      <c r="AS399" s="283">
        <f>(AS397/10.71)</f>
        <v>644.12</v>
      </c>
    </row>
    <row r="400" spans="1:45" ht="24" customHeight="1">
      <c r="A400" s="792">
        <f t="shared" si="36"/>
        <v>234</v>
      </c>
      <c r="B400" s="374" t="s">
        <v>1115</v>
      </c>
      <c r="C400" s="283">
        <v>13.6</v>
      </c>
      <c r="D400" s="374" t="s">
        <v>868</v>
      </c>
      <c r="K400" s="748" t="s">
        <v>1586</v>
      </c>
      <c r="R400" s="748" t="s">
        <v>2055</v>
      </c>
      <c r="W400" s="744"/>
      <c r="X400" s="785" t="s">
        <v>429</v>
      </c>
      <c r="AF400" s="374"/>
      <c r="AG400" s="748" t="s">
        <v>2055</v>
      </c>
      <c r="AR400" s="374"/>
      <c r="AS400" s="748" t="s">
        <v>2055</v>
      </c>
    </row>
    <row r="401" spans="1:45" ht="24" customHeight="1">
      <c r="A401" s="792">
        <f t="shared" si="36"/>
        <v>235</v>
      </c>
      <c r="B401" s="374" t="s">
        <v>1116</v>
      </c>
      <c r="C401" s="283">
        <v>23.2</v>
      </c>
      <c r="D401" s="374" t="s">
        <v>868</v>
      </c>
      <c r="H401" s="374" t="s">
        <v>552</v>
      </c>
      <c r="K401" s="751">
        <f>(K399/10)</f>
        <v>809.72</v>
      </c>
      <c r="N401" s="374" t="s">
        <v>675</v>
      </c>
      <c r="O401" s="374" t="s">
        <v>349</v>
      </c>
      <c r="U401" s="283" t="s">
        <v>552</v>
      </c>
      <c r="W401" s="744"/>
      <c r="X401" s="283">
        <f>X399/10</f>
        <v>848.39</v>
      </c>
      <c r="AF401" s="374"/>
      <c r="AP401" s="374" t="s">
        <v>386</v>
      </c>
      <c r="AR401" s="374">
        <f>AF412</f>
        <v>8.99</v>
      </c>
      <c r="AS401" s="751">
        <f>AS399+AR401</f>
        <v>653.11</v>
      </c>
    </row>
    <row r="402" spans="1:45" ht="24" customHeight="1">
      <c r="A402" s="792">
        <f t="shared" si="36"/>
        <v>236</v>
      </c>
      <c r="B402" s="374" t="s">
        <v>1117</v>
      </c>
      <c r="C402" s="283">
        <v>52</v>
      </c>
      <c r="D402" s="374" t="s">
        <v>868</v>
      </c>
      <c r="K402" s="748" t="s">
        <v>2055</v>
      </c>
      <c r="O402" s="748" t="s">
        <v>1586</v>
      </c>
      <c r="W402" s="744"/>
      <c r="X402" s="785" t="s">
        <v>32</v>
      </c>
      <c r="AC402" s="283" t="s">
        <v>675</v>
      </c>
      <c r="AD402" s="374" t="s">
        <v>3189</v>
      </c>
      <c r="AF402" s="374"/>
      <c r="AP402" s="374" t="s">
        <v>388</v>
      </c>
      <c r="AR402" s="374">
        <f>AF413</f>
        <v>18.149999999999999</v>
      </c>
      <c r="AS402" s="751">
        <f t="shared" ref="AS402:AS407" si="38">AS401+AR402</f>
        <v>671.26</v>
      </c>
    </row>
    <row r="403" spans="1:45" ht="24" customHeight="1">
      <c r="A403" s="792">
        <f t="shared" si="36"/>
        <v>237</v>
      </c>
      <c r="B403" s="374" t="s">
        <v>1118</v>
      </c>
      <c r="C403" s="283">
        <v>69.8</v>
      </c>
      <c r="D403" s="374" t="s">
        <v>868</v>
      </c>
      <c r="H403" s="374" t="s">
        <v>386</v>
      </c>
      <c r="J403" s="374">
        <f>K403-K401</f>
        <v>8.68</v>
      </c>
      <c r="K403" s="751">
        <f>(K401+C19/10*F395)</f>
        <v>818.4</v>
      </c>
      <c r="M403" s="283">
        <v>10</v>
      </c>
      <c r="N403" s="374" t="s">
        <v>609</v>
      </c>
      <c r="O403" s="374" t="s">
        <v>1114</v>
      </c>
      <c r="P403" s="283">
        <f>(R399)</f>
        <v>33.549999999999997</v>
      </c>
      <c r="Q403" s="374" t="s">
        <v>609</v>
      </c>
      <c r="R403" s="283">
        <f>(M403*P403)</f>
        <v>335.5</v>
      </c>
      <c r="U403" s="751" t="s">
        <v>386</v>
      </c>
      <c r="W403" s="744">
        <f>0.112*C19</f>
        <v>8.84</v>
      </c>
      <c r="X403" s="751">
        <f>X401+W403</f>
        <v>857.23</v>
      </c>
      <c r="AD403" s="748" t="s">
        <v>1586</v>
      </c>
      <c r="AF403" s="374"/>
      <c r="AP403" s="374" t="s">
        <v>2232</v>
      </c>
      <c r="AR403" s="374">
        <f>AR402</f>
        <v>18.149999999999999</v>
      </c>
      <c r="AS403" s="751">
        <f t="shared" si="38"/>
        <v>689.41</v>
      </c>
    </row>
    <row r="404" spans="1:45" ht="24" customHeight="1">
      <c r="A404" s="792">
        <f t="shared" si="36"/>
        <v>238</v>
      </c>
      <c r="B404" s="374" t="s">
        <v>1120</v>
      </c>
      <c r="C404" s="283">
        <v>87</v>
      </c>
      <c r="D404" s="374" t="s">
        <v>868</v>
      </c>
      <c r="H404" s="374" t="s">
        <v>388</v>
      </c>
      <c r="J404" s="374">
        <f>K404-K403</f>
        <v>17.510000000000002</v>
      </c>
      <c r="K404" s="751">
        <f>(K403+C20/10*F395)</f>
        <v>835.91</v>
      </c>
      <c r="M404" s="283">
        <v>10</v>
      </c>
      <c r="N404" s="374" t="s">
        <v>609</v>
      </c>
      <c r="O404" s="374" t="s">
        <v>1529</v>
      </c>
      <c r="P404" s="283">
        <f>(R399/2)</f>
        <v>16.78</v>
      </c>
      <c r="Q404" s="374" t="s">
        <v>609</v>
      </c>
      <c r="R404" s="283">
        <f>(M404*P404)</f>
        <v>167.8</v>
      </c>
      <c r="U404" s="751" t="s">
        <v>388</v>
      </c>
      <c r="W404" s="744">
        <f>0.112*C20</f>
        <v>17.829999999999998</v>
      </c>
      <c r="X404" s="751">
        <f>X403+W404</f>
        <v>875.06</v>
      </c>
      <c r="AB404" s="283">
        <v>1.1399999999999999</v>
      </c>
      <c r="AC404" s="283" t="s">
        <v>869</v>
      </c>
      <c r="AD404" s="374" t="s">
        <v>1119</v>
      </c>
      <c r="AE404" s="283">
        <f>(AG399)</f>
        <v>6390.68</v>
      </c>
      <c r="AF404" s="374" t="s">
        <v>869</v>
      </c>
      <c r="AG404" s="283">
        <f>(AB404*AE404)</f>
        <v>7285.38</v>
      </c>
      <c r="AP404" s="374" t="s">
        <v>380</v>
      </c>
      <c r="AR404" s="374">
        <f>AR403</f>
        <v>18.149999999999999</v>
      </c>
      <c r="AS404" s="751">
        <f t="shared" si="38"/>
        <v>707.56</v>
      </c>
    </row>
    <row r="405" spans="1:45" ht="24" customHeight="1">
      <c r="A405" s="792">
        <f t="shared" si="36"/>
        <v>239</v>
      </c>
      <c r="B405" s="374" t="s">
        <v>240</v>
      </c>
      <c r="C405" s="283">
        <v>116.3</v>
      </c>
      <c r="D405" s="374" t="s">
        <v>868</v>
      </c>
      <c r="H405" s="374" t="s">
        <v>2232</v>
      </c>
      <c r="K405" s="751">
        <f>(K404+C21/10*F395)</f>
        <v>853.42</v>
      </c>
      <c r="O405" s="374" t="s">
        <v>1530</v>
      </c>
      <c r="R405" s="748" t="s">
        <v>1586</v>
      </c>
      <c r="U405" s="751" t="s">
        <v>2232</v>
      </c>
      <c r="W405" s="744">
        <f>W404</f>
        <v>17.829999999999998</v>
      </c>
      <c r="X405" s="751">
        <f>X404+W405</f>
        <v>892.89</v>
      </c>
      <c r="AB405" s="283">
        <v>1</v>
      </c>
      <c r="AC405" s="283" t="s">
        <v>769</v>
      </c>
      <c r="AD405" s="374" t="s">
        <v>2009</v>
      </c>
      <c r="AE405" s="283">
        <f>AE391</f>
        <v>999</v>
      </c>
      <c r="AF405" s="374" t="s">
        <v>868</v>
      </c>
      <c r="AG405" s="283">
        <f>(AB405*AE405)</f>
        <v>999</v>
      </c>
      <c r="AP405" s="374" t="s">
        <v>1532</v>
      </c>
      <c r="AR405" s="374">
        <f>AR404</f>
        <v>18.149999999999999</v>
      </c>
      <c r="AS405" s="751">
        <f t="shared" si="38"/>
        <v>725.71</v>
      </c>
    </row>
    <row r="406" spans="1:45" ht="24" customHeight="1">
      <c r="A406" s="792">
        <f t="shared" si="36"/>
        <v>240</v>
      </c>
      <c r="B406" s="374" t="s">
        <v>6006</v>
      </c>
      <c r="C406" s="283">
        <v>278.3</v>
      </c>
      <c r="D406" s="374" t="s">
        <v>868</v>
      </c>
      <c r="H406" s="374" t="s">
        <v>380</v>
      </c>
      <c r="K406" s="751">
        <f>(K405+C21/10*F395)</f>
        <v>870.93</v>
      </c>
      <c r="R406" s="283">
        <f>SUM(R403:R404)</f>
        <v>503.3</v>
      </c>
      <c r="U406" s="751" t="s">
        <v>380</v>
      </c>
      <c r="W406" s="744">
        <f>W404</f>
        <v>17.829999999999998</v>
      </c>
      <c r="X406" s="751">
        <f>X405+W406</f>
        <v>910.72</v>
      </c>
      <c r="AC406" s="283" t="s">
        <v>449</v>
      </c>
      <c r="AD406" s="374" t="s">
        <v>450</v>
      </c>
      <c r="AE406" s="374" t="s">
        <v>975</v>
      </c>
      <c r="AF406" s="374" t="s">
        <v>449</v>
      </c>
      <c r="AG406" s="283">
        <v>0</v>
      </c>
      <c r="AP406" s="374" t="s">
        <v>3562</v>
      </c>
      <c r="AR406" s="374">
        <f>AR405</f>
        <v>18.149999999999999</v>
      </c>
      <c r="AS406" s="751">
        <f t="shared" si="38"/>
        <v>743.86</v>
      </c>
    </row>
    <row r="407" spans="1:45" ht="24" customHeight="1">
      <c r="A407" s="792">
        <f t="shared" si="36"/>
        <v>241</v>
      </c>
      <c r="B407" s="374" t="s">
        <v>5285</v>
      </c>
      <c r="D407" s="374" t="s">
        <v>975</v>
      </c>
      <c r="H407" s="374" t="s">
        <v>1532</v>
      </c>
      <c r="K407" s="751">
        <f>(K406+C21/10*F395)</f>
        <v>888.44</v>
      </c>
      <c r="L407" s="283">
        <f>K407-K406</f>
        <v>17.510000000000002</v>
      </c>
      <c r="O407" s="374" t="s">
        <v>441</v>
      </c>
      <c r="R407" s="748" t="s">
        <v>1586</v>
      </c>
      <c r="U407" s="751" t="s">
        <v>1532</v>
      </c>
      <c r="W407" s="744">
        <f>W406</f>
        <v>17.829999999999998</v>
      </c>
      <c r="X407" s="751">
        <f>X406+W407</f>
        <v>928.55</v>
      </c>
      <c r="AF407" s="374"/>
      <c r="AG407" s="748" t="s">
        <v>1586</v>
      </c>
      <c r="AP407" s="374" t="s">
        <v>3563</v>
      </c>
      <c r="AR407" s="374">
        <f>AR406</f>
        <v>18.149999999999999</v>
      </c>
      <c r="AS407" s="751">
        <f t="shared" si="38"/>
        <v>762.01</v>
      </c>
    </row>
    <row r="408" spans="1:45" ht="24" customHeight="1">
      <c r="A408" s="792">
        <f t="shared" si="36"/>
        <v>242</v>
      </c>
      <c r="B408" s="374" t="s">
        <v>1115</v>
      </c>
      <c r="C408" s="283">
        <v>13.6</v>
      </c>
      <c r="D408" s="374" t="s">
        <v>868</v>
      </c>
      <c r="F408" s="774">
        <v>11</v>
      </c>
      <c r="G408" s="283" t="s">
        <v>2251</v>
      </c>
      <c r="H408" s="374" t="s">
        <v>809</v>
      </c>
      <c r="L408" s="283">
        <f>K407+L407</f>
        <v>905.95</v>
      </c>
      <c r="R408" s="283">
        <f>(R406/10)</f>
        <v>50.33</v>
      </c>
      <c r="S408" s="746">
        <v>11</v>
      </c>
      <c r="T408" s="283" t="s">
        <v>2251</v>
      </c>
      <c r="U408" s="283" t="s">
        <v>809</v>
      </c>
      <c r="W408" s="744"/>
      <c r="AD408" s="374" t="s">
        <v>441</v>
      </c>
      <c r="AF408" s="374"/>
      <c r="AG408" s="283">
        <f>SUM(AG404:AG406)</f>
        <v>8284.3799999999992</v>
      </c>
    </row>
    <row r="409" spans="1:45" ht="24" customHeight="1">
      <c r="A409" s="792">
        <f t="shared" si="36"/>
        <v>243</v>
      </c>
      <c r="B409" s="374" t="s">
        <v>1116</v>
      </c>
      <c r="C409" s="283">
        <v>15.9</v>
      </c>
      <c r="D409" s="374" t="s">
        <v>868</v>
      </c>
      <c r="H409" s="283" t="str">
        <f>H310</f>
        <v>Bricks of size 22x11x7 cm</v>
      </c>
      <c r="O409" s="374" t="s">
        <v>552</v>
      </c>
      <c r="R409" s="748" t="s">
        <v>2055</v>
      </c>
      <c r="U409" s="283" t="s">
        <v>427</v>
      </c>
      <c r="W409" s="744"/>
      <c r="AF409" s="374"/>
      <c r="AG409" s="748" t="s">
        <v>1586</v>
      </c>
    </row>
    <row r="410" spans="1:45" ht="24" customHeight="1">
      <c r="A410" s="792">
        <f t="shared" si="36"/>
        <v>244</v>
      </c>
      <c r="B410" s="374" t="s">
        <v>1117</v>
      </c>
      <c r="C410" s="283">
        <v>28.6</v>
      </c>
      <c r="D410" s="374" t="s">
        <v>868</v>
      </c>
      <c r="H410" s="748" t="s">
        <v>1586</v>
      </c>
      <c r="U410" s="283" t="s">
        <v>1586</v>
      </c>
      <c r="W410" s="744"/>
      <c r="AD410" s="374" t="s">
        <v>552</v>
      </c>
      <c r="AF410" s="374"/>
      <c r="AG410" s="751">
        <f>(AG408/10)</f>
        <v>828.44</v>
      </c>
    </row>
    <row r="411" spans="1:45" ht="24" customHeight="1">
      <c r="A411" s="792">
        <f t="shared" si="36"/>
        <v>245</v>
      </c>
      <c r="B411" s="374" t="s">
        <v>1118</v>
      </c>
      <c r="C411" s="283">
        <v>46.5</v>
      </c>
      <c r="D411" s="374" t="s">
        <v>868</v>
      </c>
      <c r="F411" s="283">
        <f>F312</f>
        <v>4800</v>
      </c>
      <c r="G411" s="283" t="s">
        <v>1425</v>
      </c>
      <c r="H411" s="283" t="str">
        <f>H310</f>
        <v>Bricks of size 22x11x7 cm</v>
      </c>
      <c r="I411" s="283">
        <f>(C81)</f>
        <v>5840.84</v>
      </c>
      <c r="J411" s="374" t="s">
        <v>1533</v>
      </c>
      <c r="K411" s="283">
        <f>(F411*I411)/1000</f>
        <v>28036.03</v>
      </c>
      <c r="N411" s="374" t="s">
        <v>2251</v>
      </c>
      <c r="O411" s="374" t="s">
        <v>1534</v>
      </c>
      <c r="S411" s="746">
        <v>4600</v>
      </c>
      <c r="T411" s="283" t="s">
        <v>1425</v>
      </c>
      <c r="U411" s="283" t="s">
        <v>427</v>
      </c>
      <c r="V411" s="283">
        <f t="shared" ref="V411:V416" si="39">V380</f>
        <v>6595</v>
      </c>
      <c r="W411" s="744" t="s">
        <v>1533</v>
      </c>
      <c r="X411" s="283">
        <f>V411*S411/1000</f>
        <v>30337</v>
      </c>
      <c r="AF411" s="374"/>
      <c r="AG411" s="748" t="s">
        <v>2055</v>
      </c>
    </row>
    <row r="412" spans="1:45" ht="24" customHeight="1">
      <c r="A412" s="792">
        <f t="shared" ref="A412:A422" si="40">(A411+1)</f>
        <v>246</v>
      </c>
      <c r="B412" s="374" t="s">
        <v>1120</v>
      </c>
      <c r="C412" s="283">
        <v>58.1</v>
      </c>
      <c r="D412" s="374" t="s">
        <v>868</v>
      </c>
      <c r="F412" s="283">
        <f>F381</f>
        <v>1.59</v>
      </c>
      <c r="G412" s="283" t="s">
        <v>869</v>
      </c>
      <c r="H412" s="374" t="s">
        <v>1307</v>
      </c>
      <c r="I412" s="283">
        <f>(K40)</f>
        <v>4364.46</v>
      </c>
      <c r="J412" s="374" t="s">
        <v>869</v>
      </c>
      <c r="K412" s="283">
        <f>(F412*I412)</f>
        <v>6939.49</v>
      </c>
      <c r="O412" s="374" t="s">
        <v>1535</v>
      </c>
      <c r="S412" s="746">
        <v>1.59</v>
      </c>
      <c r="T412" s="283" t="s">
        <v>869</v>
      </c>
      <c r="U412" s="283" t="s">
        <v>1307</v>
      </c>
      <c r="V412" s="283">
        <f t="shared" si="39"/>
        <v>4364.46</v>
      </c>
      <c r="W412" s="744" t="s">
        <v>869</v>
      </c>
      <c r="X412" s="283">
        <f t="shared" ref="X412:X417" si="41">V412*S412</f>
        <v>6939.49</v>
      </c>
      <c r="AD412" s="374" t="s">
        <v>386</v>
      </c>
      <c r="AF412" s="374">
        <f>C19*0.114</f>
        <v>8.99</v>
      </c>
      <c r="AG412" s="751">
        <f>AG410+AF412</f>
        <v>837.43</v>
      </c>
    </row>
    <row r="413" spans="1:45" ht="24" customHeight="1">
      <c r="A413" s="792">
        <f t="shared" si="40"/>
        <v>247</v>
      </c>
      <c r="B413" s="374" t="s">
        <v>240</v>
      </c>
      <c r="C413" s="283">
        <v>69.8</v>
      </c>
      <c r="D413" s="374" t="s">
        <v>868</v>
      </c>
      <c r="F413" s="283">
        <v>7</v>
      </c>
      <c r="G413" s="283" t="s">
        <v>868</v>
      </c>
      <c r="H413" s="374" t="s">
        <v>2009</v>
      </c>
      <c r="I413" s="283">
        <f>(C10)</f>
        <v>999</v>
      </c>
      <c r="J413" s="374" t="s">
        <v>868</v>
      </c>
      <c r="K413" s="283">
        <f>(F413*I413)</f>
        <v>6993</v>
      </c>
      <c r="O413" s="748" t="s">
        <v>1586</v>
      </c>
      <c r="S413" s="746">
        <v>7</v>
      </c>
      <c r="T413" s="283" t="s">
        <v>868</v>
      </c>
      <c r="U413" s="283" t="s">
        <v>2009</v>
      </c>
      <c r="V413" s="283">
        <f t="shared" si="39"/>
        <v>999</v>
      </c>
      <c r="W413" s="744" t="s">
        <v>868</v>
      </c>
      <c r="X413" s="283">
        <f t="shared" si="41"/>
        <v>6993</v>
      </c>
      <c r="AD413" s="374" t="s">
        <v>388</v>
      </c>
      <c r="AF413" s="374">
        <f>C20*0.114</f>
        <v>18.149999999999999</v>
      </c>
      <c r="AG413" s="751">
        <f t="shared" ref="AG413:AG421" si="42">AG412+AF413</f>
        <v>855.58</v>
      </c>
    </row>
    <row r="414" spans="1:45" ht="24" customHeight="1">
      <c r="A414" s="792">
        <f t="shared" si="40"/>
        <v>248</v>
      </c>
      <c r="B414" s="374" t="s">
        <v>5286</v>
      </c>
      <c r="C414" s="283">
        <v>239</v>
      </c>
      <c r="D414" s="374" t="s">
        <v>868</v>
      </c>
      <c r="F414" s="283">
        <v>7.1</v>
      </c>
      <c r="G414" s="283" t="s">
        <v>868</v>
      </c>
      <c r="H414" s="374" t="s">
        <v>1712</v>
      </c>
      <c r="I414" s="283">
        <f>(C11)</f>
        <v>932</v>
      </c>
      <c r="J414" s="374" t="s">
        <v>868</v>
      </c>
      <c r="K414" s="283">
        <f>(F414*I414)</f>
        <v>6617.2</v>
      </c>
      <c r="M414" s="283">
        <v>10</v>
      </c>
      <c r="N414" s="374" t="s">
        <v>609</v>
      </c>
      <c r="O414" s="374" t="s">
        <v>1834</v>
      </c>
      <c r="P414" s="283">
        <f>(R385)</f>
        <v>23.04</v>
      </c>
      <c r="Q414" s="374" t="s">
        <v>609</v>
      </c>
      <c r="R414" s="283">
        <f>(M414*P414)</f>
        <v>230.4</v>
      </c>
      <c r="S414" s="746">
        <v>7.1</v>
      </c>
      <c r="T414" s="283" t="s">
        <v>868</v>
      </c>
      <c r="U414" s="283" t="s">
        <v>1712</v>
      </c>
      <c r="V414" s="283">
        <f t="shared" si="39"/>
        <v>932</v>
      </c>
      <c r="W414" s="744" t="s">
        <v>868</v>
      </c>
      <c r="X414" s="283">
        <f t="shared" si="41"/>
        <v>6617.2</v>
      </c>
      <c r="AD414" s="374" t="s">
        <v>2232</v>
      </c>
      <c r="AF414" s="374">
        <f t="shared" ref="AF414:AF423" si="43">AF413</f>
        <v>18.149999999999999</v>
      </c>
      <c r="AG414" s="751">
        <f t="shared" si="42"/>
        <v>873.73</v>
      </c>
    </row>
    <row r="415" spans="1:45" ht="24" customHeight="1">
      <c r="A415" s="792">
        <f t="shared" si="40"/>
        <v>249</v>
      </c>
      <c r="B415" s="745" t="s">
        <v>4574</v>
      </c>
      <c r="D415" s="374" t="s">
        <v>975</v>
      </c>
      <c r="F415" s="283">
        <v>7.1</v>
      </c>
      <c r="G415" s="283" t="s">
        <v>868</v>
      </c>
      <c r="H415" s="374" t="s">
        <v>1902</v>
      </c>
      <c r="I415" s="283">
        <f>(C12)</f>
        <v>651</v>
      </c>
      <c r="J415" s="374" t="s">
        <v>868</v>
      </c>
      <c r="K415" s="283">
        <f>(F415*I415)</f>
        <v>4622.1000000000004</v>
      </c>
      <c r="M415" s="283">
        <v>10</v>
      </c>
      <c r="N415" s="374" t="s">
        <v>609</v>
      </c>
      <c r="O415" s="374" t="s">
        <v>349</v>
      </c>
      <c r="P415" s="283">
        <f>(R408)</f>
        <v>50.33</v>
      </c>
      <c r="Q415" s="374" t="s">
        <v>609</v>
      </c>
      <c r="R415" s="283">
        <f>(M415*P415)</f>
        <v>503.3</v>
      </c>
      <c r="S415" s="746">
        <v>7.1</v>
      </c>
      <c r="T415" s="283" t="s">
        <v>868</v>
      </c>
      <c r="U415" s="283" t="s">
        <v>1902</v>
      </c>
      <c r="V415" s="283">
        <f t="shared" si="39"/>
        <v>651</v>
      </c>
      <c r="W415" s="744" t="s">
        <v>868</v>
      </c>
      <c r="X415" s="283">
        <f t="shared" si="41"/>
        <v>4622.1000000000004</v>
      </c>
      <c r="AD415" s="374" t="s">
        <v>380</v>
      </c>
      <c r="AF415" s="374">
        <f t="shared" si="43"/>
        <v>18.149999999999999</v>
      </c>
      <c r="AG415" s="751">
        <f t="shared" si="42"/>
        <v>891.88</v>
      </c>
    </row>
    <row r="416" spans="1:45" ht="24" customHeight="1">
      <c r="A416" s="792">
        <f t="shared" si="40"/>
        <v>250</v>
      </c>
      <c r="B416" s="374" t="s">
        <v>1115</v>
      </c>
      <c r="C416" s="283">
        <v>15.9</v>
      </c>
      <c r="D416" s="374" t="s">
        <v>868</v>
      </c>
      <c r="F416" s="283">
        <v>21.2</v>
      </c>
      <c r="G416" s="283" t="s">
        <v>868</v>
      </c>
      <c r="H416" s="374" t="s">
        <v>320</v>
      </c>
      <c r="I416" s="283">
        <f>(C13)</f>
        <v>534</v>
      </c>
      <c r="J416" s="374" t="s">
        <v>868</v>
      </c>
      <c r="K416" s="283">
        <f>(F416*I416)</f>
        <v>11320.8</v>
      </c>
      <c r="O416" s="374" t="s">
        <v>975</v>
      </c>
      <c r="R416" s="748" t="s">
        <v>1586</v>
      </c>
      <c r="S416" s="746">
        <v>21.2</v>
      </c>
      <c r="T416" s="283" t="s">
        <v>868</v>
      </c>
      <c r="U416" s="283" t="s">
        <v>320</v>
      </c>
      <c r="V416" s="283">
        <f t="shared" si="39"/>
        <v>534</v>
      </c>
      <c r="W416" s="744" t="s">
        <v>868</v>
      </c>
      <c r="X416" s="283">
        <f t="shared" si="41"/>
        <v>11320.8</v>
      </c>
      <c r="AD416" s="374" t="s">
        <v>1532</v>
      </c>
      <c r="AF416" s="374">
        <f t="shared" si="43"/>
        <v>18.149999999999999</v>
      </c>
      <c r="AG416" s="751">
        <f t="shared" si="42"/>
        <v>910.03</v>
      </c>
    </row>
    <row r="417" spans="1:35" ht="24" customHeight="1">
      <c r="A417" s="792">
        <f t="shared" si="40"/>
        <v>251</v>
      </c>
      <c r="B417" s="374" t="s">
        <v>1116</v>
      </c>
      <c r="C417" s="283">
        <v>25.4</v>
      </c>
      <c r="D417" s="374" t="s">
        <v>868</v>
      </c>
      <c r="G417" s="283" t="s">
        <v>449</v>
      </c>
      <c r="H417" s="374" t="s">
        <v>450</v>
      </c>
      <c r="I417" s="374" t="s">
        <v>975</v>
      </c>
      <c r="J417" s="374" t="s">
        <v>449</v>
      </c>
      <c r="K417" s="283">
        <v>0</v>
      </c>
      <c r="R417" s="283">
        <f>SUM(R414:R415)</f>
        <v>733.7</v>
      </c>
      <c r="T417" s="283" t="s">
        <v>449</v>
      </c>
      <c r="U417" s="283" t="s">
        <v>450</v>
      </c>
      <c r="V417" s="283" t="s">
        <v>975</v>
      </c>
      <c r="W417" s="744" t="s">
        <v>449</v>
      </c>
      <c r="X417" s="283">
        <f t="shared" si="41"/>
        <v>0</v>
      </c>
      <c r="AD417" s="374" t="s">
        <v>3562</v>
      </c>
      <c r="AF417" s="374">
        <f t="shared" si="43"/>
        <v>18.149999999999999</v>
      </c>
      <c r="AG417" s="751">
        <f t="shared" si="42"/>
        <v>928.18</v>
      </c>
    </row>
    <row r="418" spans="1:35" ht="24" customHeight="1">
      <c r="A418" s="792">
        <f t="shared" si="40"/>
        <v>252</v>
      </c>
      <c r="B418" s="374" t="s">
        <v>1117</v>
      </c>
      <c r="C418" s="283">
        <v>58.1</v>
      </c>
      <c r="D418" s="374" t="s">
        <v>868</v>
      </c>
      <c r="K418" s="748" t="s">
        <v>1586</v>
      </c>
      <c r="O418" s="374" t="s">
        <v>441</v>
      </c>
      <c r="R418" s="748" t="s">
        <v>1586</v>
      </c>
      <c r="W418" s="744"/>
      <c r="X418" s="785" t="s">
        <v>429</v>
      </c>
      <c r="AD418" s="374" t="s">
        <v>3563</v>
      </c>
      <c r="AF418" s="374">
        <f t="shared" si="43"/>
        <v>18.149999999999999</v>
      </c>
      <c r="AG418" s="751">
        <f t="shared" si="42"/>
        <v>946.33</v>
      </c>
    </row>
    <row r="419" spans="1:35" ht="24" customHeight="1">
      <c r="A419" s="792">
        <f t="shared" si="40"/>
        <v>253</v>
      </c>
      <c r="B419" s="374" t="s">
        <v>1118</v>
      </c>
      <c r="C419" s="283">
        <v>87</v>
      </c>
      <c r="D419" s="374" t="s">
        <v>868</v>
      </c>
      <c r="H419" s="374" t="s">
        <v>614</v>
      </c>
      <c r="K419" s="283">
        <f>SUM(K411:K417)</f>
        <v>64528.62</v>
      </c>
      <c r="R419" s="283">
        <f>(R417/10)</f>
        <v>73.37</v>
      </c>
      <c r="U419" s="283" t="s">
        <v>614</v>
      </c>
      <c r="W419" s="744"/>
      <c r="X419" s="283">
        <f>SUM(X411:X417)</f>
        <v>66829.59</v>
      </c>
      <c r="AD419" s="374" t="s">
        <v>3564</v>
      </c>
      <c r="AF419" s="374">
        <f t="shared" si="43"/>
        <v>18.149999999999999</v>
      </c>
      <c r="AG419" s="751">
        <f t="shared" si="42"/>
        <v>964.48</v>
      </c>
    </row>
    <row r="420" spans="1:35" ht="24" customHeight="1">
      <c r="A420" s="792">
        <f t="shared" si="40"/>
        <v>254</v>
      </c>
      <c r="B420" s="374" t="s">
        <v>1120</v>
      </c>
      <c r="C420" s="283">
        <v>98.6</v>
      </c>
      <c r="D420" s="374" t="s">
        <v>868</v>
      </c>
      <c r="K420" s="748" t="s">
        <v>1586</v>
      </c>
      <c r="O420" s="374" t="s">
        <v>552</v>
      </c>
      <c r="R420" s="748" t="s">
        <v>2055</v>
      </c>
      <c r="W420" s="744"/>
      <c r="X420" s="785" t="s">
        <v>429</v>
      </c>
      <c r="AD420" s="374" t="s">
        <v>3586</v>
      </c>
      <c r="AF420" s="374">
        <f t="shared" si="43"/>
        <v>18.149999999999999</v>
      </c>
      <c r="AG420" s="751">
        <f>AG419+AF420</f>
        <v>982.63</v>
      </c>
    </row>
    <row r="421" spans="1:35" ht="24" customHeight="1">
      <c r="A421" s="792">
        <f t="shared" si="40"/>
        <v>255</v>
      </c>
      <c r="B421" s="374" t="s">
        <v>240</v>
      </c>
      <c r="C421" s="283">
        <v>128</v>
      </c>
      <c r="D421" s="374" t="s">
        <v>868</v>
      </c>
      <c r="H421" s="374" t="s">
        <v>773</v>
      </c>
      <c r="K421" s="283">
        <f>(K419/10)</f>
        <v>6452.86</v>
      </c>
      <c r="U421" s="283" t="s">
        <v>773</v>
      </c>
      <c r="W421" s="744"/>
      <c r="X421" s="283">
        <f>X419/10</f>
        <v>6682.96</v>
      </c>
      <c r="AD421" s="374" t="s">
        <v>3584</v>
      </c>
      <c r="AF421" s="374">
        <f t="shared" si="43"/>
        <v>18.149999999999999</v>
      </c>
      <c r="AG421" s="751">
        <f t="shared" si="42"/>
        <v>1000.78</v>
      </c>
    </row>
    <row r="422" spans="1:35" ht="24" customHeight="1">
      <c r="A422" s="792">
        <f t="shared" si="40"/>
        <v>256</v>
      </c>
      <c r="B422" s="374" t="s">
        <v>3522</v>
      </c>
      <c r="C422" s="283">
        <v>345.2</v>
      </c>
      <c r="D422" s="374" t="s">
        <v>868</v>
      </c>
      <c r="K422" s="748" t="s">
        <v>2055</v>
      </c>
      <c r="W422" s="744"/>
      <c r="X422" s="785" t="s">
        <v>32</v>
      </c>
      <c r="AB422" s="774">
        <v>11</v>
      </c>
      <c r="AC422" s="283" t="s">
        <v>2251</v>
      </c>
      <c r="AD422" s="374" t="s">
        <v>809</v>
      </c>
      <c r="AF422" s="374">
        <f t="shared" si="43"/>
        <v>18.149999999999999</v>
      </c>
      <c r="AG422" s="751">
        <f>AG421+AF422</f>
        <v>1018.93</v>
      </c>
    </row>
    <row r="423" spans="1:35" ht="24" customHeight="1">
      <c r="F423" s="374" t="s">
        <v>249</v>
      </c>
      <c r="S423" s="746" t="s">
        <v>249</v>
      </c>
      <c r="W423" s="744"/>
      <c r="AD423" s="283">
        <f>AD308</f>
        <v>0</v>
      </c>
      <c r="AF423" s="374">
        <f t="shared" si="43"/>
        <v>18.149999999999999</v>
      </c>
      <c r="AG423" s="751">
        <f>AG422+AF423</f>
        <v>1037.08</v>
      </c>
      <c r="AH423" s="283" t="s">
        <v>4303</v>
      </c>
      <c r="AI423" s="283">
        <f>AG423+AF423</f>
        <v>1055.23</v>
      </c>
    </row>
    <row r="424" spans="1:35" ht="24" customHeight="1">
      <c r="A424" s="792">
        <f>(A422+1)</f>
        <v>257</v>
      </c>
      <c r="B424" s="745" t="s">
        <v>4575</v>
      </c>
      <c r="D424" s="374" t="s">
        <v>975</v>
      </c>
      <c r="O424" s="744" t="s">
        <v>1538</v>
      </c>
      <c r="W424" s="744"/>
      <c r="AD424" s="748" t="s">
        <v>1586</v>
      </c>
      <c r="AF424" s="374"/>
      <c r="AH424" s="283" t="s">
        <v>4304</v>
      </c>
      <c r="AI424" s="283">
        <f>AI423+AF423</f>
        <v>1073.3800000000001</v>
      </c>
    </row>
    <row r="425" spans="1:35" ht="24" customHeight="1">
      <c r="A425" s="792">
        <f t="shared" ref="A425:A488" si="44">(A424+1)</f>
        <v>258</v>
      </c>
      <c r="B425" s="374" t="s">
        <v>1115</v>
      </c>
      <c r="C425" s="283">
        <v>58.1</v>
      </c>
      <c r="D425" s="374" t="s">
        <v>868</v>
      </c>
      <c r="G425" s="283" t="s">
        <v>1539</v>
      </c>
      <c r="H425" s="374" t="s">
        <v>431</v>
      </c>
      <c r="O425" s="748" t="s">
        <v>1586</v>
      </c>
      <c r="T425" s="283" t="s">
        <v>1539</v>
      </c>
      <c r="U425" s="283" t="s">
        <v>431</v>
      </c>
      <c r="W425" s="744"/>
      <c r="AB425" s="283">
        <f>AB312</f>
        <v>4240</v>
      </c>
      <c r="AC425" s="283" t="s">
        <v>1425</v>
      </c>
      <c r="AD425" s="283" t="str">
        <f>AD312</f>
        <v>Bricks of size 23x11.4x7.5 cm</v>
      </c>
      <c r="AE425" s="283">
        <f t="shared" ref="AE425:AE430" si="45">AE389</f>
        <v>6795</v>
      </c>
      <c r="AF425" s="374" t="s">
        <v>1533</v>
      </c>
      <c r="AG425" s="283">
        <f>(AB425*AE425)/1000</f>
        <v>28810.799999999999</v>
      </c>
    </row>
    <row r="426" spans="1:35" ht="24" customHeight="1">
      <c r="A426" s="792">
        <f t="shared" si="44"/>
        <v>259</v>
      </c>
      <c r="B426" s="374" t="s">
        <v>1116</v>
      </c>
      <c r="C426" s="283">
        <v>69.8</v>
      </c>
      <c r="D426" s="374" t="s">
        <v>868</v>
      </c>
      <c r="H426" s="748" t="s">
        <v>1586</v>
      </c>
      <c r="N426" s="374" t="s">
        <v>2251</v>
      </c>
      <c r="O426" s="374" t="s">
        <v>2047</v>
      </c>
      <c r="U426" s="283" t="s">
        <v>1586</v>
      </c>
      <c r="W426" s="744"/>
      <c r="AB426" s="283">
        <v>1.27</v>
      </c>
      <c r="AC426" s="283" t="s">
        <v>869</v>
      </c>
      <c r="AD426" s="374" t="s">
        <v>1307</v>
      </c>
      <c r="AE426" s="283">
        <f t="shared" si="45"/>
        <v>4364.46</v>
      </c>
      <c r="AF426" s="374" t="s">
        <v>869</v>
      </c>
      <c r="AG426" s="283">
        <f>(AB426*AE426)</f>
        <v>5542.86</v>
      </c>
    </row>
    <row r="427" spans="1:35" ht="24" customHeight="1">
      <c r="A427" s="792">
        <f t="shared" si="44"/>
        <v>260</v>
      </c>
      <c r="B427" s="374" t="s">
        <v>1117</v>
      </c>
      <c r="C427" s="283">
        <v>98.6</v>
      </c>
      <c r="D427" s="374" t="s">
        <v>868</v>
      </c>
      <c r="F427" s="283">
        <v>0.7</v>
      </c>
      <c r="G427" s="283" t="s">
        <v>869</v>
      </c>
      <c r="H427" s="374" t="s">
        <v>2279</v>
      </c>
      <c r="I427" s="283">
        <f>(K421)</f>
        <v>6452.86</v>
      </c>
      <c r="J427" s="374" t="s">
        <v>868</v>
      </c>
      <c r="K427" s="283">
        <f>(F427*I427)</f>
        <v>4517</v>
      </c>
      <c r="O427" s="374" t="s">
        <v>2048</v>
      </c>
      <c r="S427" s="746">
        <v>0.7</v>
      </c>
      <c r="T427" s="283" t="s">
        <v>869</v>
      </c>
      <c r="U427" s="283" t="s">
        <v>2279</v>
      </c>
      <c r="V427" s="283">
        <f>X421</f>
        <v>6682.96</v>
      </c>
      <c r="W427" s="744" t="s">
        <v>868</v>
      </c>
      <c r="X427" s="283">
        <f>V427*S427</f>
        <v>4678.07</v>
      </c>
      <c r="AB427" s="283">
        <v>7</v>
      </c>
      <c r="AC427" s="283" t="s">
        <v>868</v>
      </c>
      <c r="AD427" s="374" t="s">
        <v>2009</v>
      </c>
      <c r="AE427" s="283">
        <f t="shared" si="45"/>
        <v>999</v>
      </c>
      <c r="AF427" s="374" t="s">
        <v>868</v>
      </c>
      <c r="AG427" s="283">
        <f>(AB427*AE427)</f>
        <v>6993</v>
      </c>
    </row>
    <row r="428" spans="1:35" ht="24" customHeight="1">
      <c r="A428" s="792">
        <f t="shared" si="44"/>
        <v>261</v>
      </c>
      <c r="B428" s="374" t="s">
        <v>1118</v>
      </c>
      <c r="C428" s="283">
        <v>127.5</v>
      </c>
      <c r="D428" s="374" t="s">
        <v>868</v>
      </c>
      <c r="F428" s="283">
        <v>1</v>
      </c>
      <c r="G428" s="283" t="s">
        <v>769</v>
      </c>
      <c r="H428" s="374" t="s">
        <v>2009</v>
      </c>
      <c r="I428" s="283">
        <f>(C10)</f>
        <v>999</v>
      </c>
      <c r="J428" s="374" t="s">
        <v>868</v>
      </c>
      <c r="K428" s="283">
        <f>(F428*I428)</f>
        <v>999</v>
      </c>
      <c r="O428" s="374" t="s">
        <v>153</v>
      </c>
      <c r="S428" s="746">
        <v>1</v>
      </c>
      <c r="T428" s="283" t="s">
        <v>769</v>
      </c>
      <c r="U428" s="283" t="s">
        <v>2009</v>
      </c>
      <c r="V428" s="283">
        <f>V396</f>
        <v>999</v>
      </c>
      <c r="W428" s="744" t="s">
        <v>868</v>
      </c>
      <c r="X428" s="283">
        <f>V428*S428</f>
        <v>999</v>
      </c>
      <c r="AB428" s="283">
        <v>7.1</v>
      </c>
      <c r="AC428" s="283" t="s">
        <v>868</v>
      </c>
      <c r="AD428" s="374" t="s">
        <v>1712</v>
      </c>
      <c r="AE428" s="283">
        <f t="shared" si="45"/>
        <v>932</v>
      </c>
      <c r="AF428" s="374" t="s">
        <v>868</v>
      </c>
      <c r="AG428" s="283">
        <f>(AB428*AE428)</f>
        <v>6617.2</v>
      </c>
    </row>
    <row r="429" spans="1:35" ht="24" customHeight="1">
      <c r="A429" s="792">
        <f t="shared" si="44"/>
        <v>262</v>
      </c>
      <c r="B429" s="374" t="s">
        <v>1120</v>
      </c>
      <c r="C429" s="283">
        <v>197.5</v>
      </c>
      <c r="D429" s="374" t="s">
        <v>868</v>
      </c>
      <c r="G429" s="283" t="s">
        <v>449</v>
      </c>
      <c r="H429" s="374" t="s">
        <v>450</v>
      </c>
      <c r="I429" s="374" t="s">
        <v>975</v>
      </c>
      <c r="J429" s="374" t="s">
        <v>449</v>
      </c>
      <c r="K429" s="283">
        <v>0</v>
      </c>
      <c r="O429" s="748" t="s">
        <v>1586</v>
      </c>
      <c r="T429" s="283" t="s">
        <v>449</v>
      </c>
      <c r="U429" s="283" t="s">
        <v>450</v>
      </c>
      <c r="V429" s="283" t="s">
        <v>975</v>
      </c>
      <c r="W429" s="744" t="s">
        <v>449</v>
      </c>
      <c r="X429" s="283">
        <v>0</v>
      </c>
      <c r="AB429" s="283">
        <f>AB316</f>
        <v>7.1</v>
      </c>
      <c r="AC429" s="283" t="s">
        <v>868</v>
      </c>
      <c r="AD429" s="374" t="s">
        <v>1902</v>
      </c>
      <c r="AE429" s="283">
        <f t="shared" si="45"/>
        <v>651</v>
      </c>
      <c r="AF429" s="374" t="s">
        <v>868</v>
      </c>
      <c r="AG429" s="283">
        <f>(AB429*AE429)</f>
        <v>4622.1000000000004</v>
      </c>
    </row>
    <row r="430" spans="1:35" ht="39" customHeight="1">
      <c r="A430" s="792">
        <f t="shared" si="44"/>
        <v>263</v>
      </c>
      <c r="B430" s="374" t="s">
        <v>240</v>
      </c>
      <c r="C430" s="283">
        <v>266.3</v>
      </c>
      <c r="D430" s="374" t="s">
        <v>868</v>
      </c>
      <c r="K430" s="748" t="s">
        <v>1586</v>
      </c>
      <c r="N430" s="374" t="s">
        <v>154</v>
      </c>
      <c r="O430" s="744" t="s">
        <v>155</v>
      </c>
      <c r="W430" s="744"/>
      <c r="X430" s="785" t="s">
        <v>429</v>
      </c>
      <c r="AB430" s="283">
        <f>AB317</f>
        <v>21.2</v>
      </c>
      <c r="AC430" s="283" t="s">
        <v>868</v>
      </c>
      <c r="AD430" s="374" t="s">
        <v>320</v>
      </c>
      <c r="AE430" s="283">
        <f t="shared" si="45"/>
        <v>534</v>
      </c>
      <c r="AF430" s="374" t="s">
        <v>868</v>
      </c>
      <c r="AG430" s="283">
        <f>(AB430*AE430)</f>
        <v>11320.8</v>
      </c>
    </row>
    <row r="431" spans="1:35" ht="34.5" customHeight="1">
      <c r="A431" s="792">
        <f t="shared" si="44"/>
        <v>264</v>
      </c>
      <c r="B431" s="374" t="s">
        <v>1121</v>
      </c>
      <c r="C431" s="283">
        <v>551</v>
      </c>
      <c r="D431" s="374" t="s">
        <v>868</v>
      </c>
      <c r="H431" s="374" t="s">
        <v>441</v>
      </c>
      <c r="K431" s="283">
        <f>SUM(K427:K429)</f>
        <v>5516</v>
      </c>
      <c r="O431" s="748" t="s">
        <v>1586</v>
      </c>
      <c r="U431" s="283" t="s">
        <v>441</v>
      </c>
      <c r="W431" s="744"/>
      <c r="X431" s="283">
        <f>SUM(X427:X429)</f>
        <v>5677.07</v>
      </c>
      <c r="AB431" s="283">
        <f>AB318</f>
        <v>0</v>
      </c>
      <c r="AC431" s="283" t="s">
        <v>449</v>
      </c>
      <c r="AD431" s="374" t="s">
        <v>450</v>
      </c>
      <c r="AE431" s="374" t="s">
        <v>975</v>
      </c>
      <c r="AF431" s="374" t="s">
        <v>449</v>
      </c>
      <c r="AG431" s="283">
        <v>0</v>
      </c>
    </row>
    <row r="432" spans="1:35" ht="24" customHeight="1">
      <c r="A432" s="792">
        <f t="shared" si="44"/>
        <v>265</v>
      </c>
      <c r="B432" s="374" t="s">
        <v>156</v>
      </c>
      <c r="D432" s="374" t="s">
        <v>975</v>
      </c>
      <c r="K432" s="748" t="s">
        <v>1586</v>
      </c>
      <c r="M432" s="283">
        <v>8.1</v>
      </c>
      <c r="N432" s="374" t="s">
        <v>869</v>
      </c>
      <c r="O432" s="374" t="s">
        <v>617</v>
      </c>
      <c r="P432" s="283">
        <f>(C62)*2</f>
        <v>224.1</v>
      </c>
      <c r="Q432" s="374" t="s">
        <v>869</v>
      </c>
      <c r="R432" s="283">
        <f>(M432*P432)</f>
        <v>1815.21</v>
      </c>
      <c r="W432" s="744"/>
      <c r="X432" s="785" t="s">
        <v>429</v>
      </c>
      <c r="AB432" s="283">
        <f>AB319</f>
        <v>0</v>
      </c>
      <c r="AF432" s="374"/>
      <c r="AG432" s="748" t="s">
        <v>1586</v>
      </c>
    </row>
    <row r="433" spans="1:33" ht="30.75" customHeight="1">
      <c r="A433" s="792">
        <f t="shared" si="44"/>
        <v>266</v>
      </c>
      <c r="B433" s="374" t="s">
        <v>1115</v>
      </c>
      <c r="C433" s="283">
        <v>1.8</v>
      </c>
      <c r="D433" s="374" t="s">
        <v>868</v>
      </c>
      <c r="H433" s="374" t="s">
        <v>552</v>
      </c>
      <c r="K433" s="283">
        <f>(K431/10)</f>
        <v>551.6</v>
      </c>
      <c r="M433" s="283">
        <v>8.1</v>
      </c>
      <c r="N433" s="374" t="s">
        <v>869</v>
      </c>
      <c r="O433" s="374" t="s">
        <v>2157</v>
      </c>
      <c r="P433" s="283">
        <f>(C26)</f>
        <v>38.950000000000003</v>
      </c>
      <c r="Q433" s="374" t="s">
        <v>869</v>
      </c>
      <c r="R433" s="283">
        <f>(M433*P433)</f>
        <v>315.5</v>
      </c>
      <c r="U433" s="283" t="s">
        <v>552</v>
      </c>
      <c r="W433" s="744"/>
      <c r="X433" s="283">
        <f>X431/10</f>
        <v>567.71</v>
      </c>
      <c r="AB433" s="283">
        <f>AB320</f>
        <v>0</v>
      </c>
      <c r="AD433" s="374" t="s">
        <v>614</v>
      </c>
      <c r="AF433" s="374"/>
      <c r="AG433" s="283">
        <f>SUM(AG425:AG432)</f>
        <v>63906.76</v>
      </c>
    </row>
    <row r="434" spans="1:33" ht="42" customHeight="1">
      <c r="A434" s="792">
        <f t="shared" si="44"/>
        <v>267</v>
      </c>
      <c r="B434" s="374" t="s">
        <v>1116</v>
      </c>
      <c r="C434" s="283">
        <v>2.9</v>
      </c>
      <c r="D434" s="374" t="s">
        <v>868</v>
      </c>
      <c r="K434" s="748" t="s">
        <v>2055</v>
      </c>
      <c r="M434" s="283">
        <v>30</v>
      </c>
      <c r="N434" s="374" t="s">
        <v>1771</v>
      </c>
      <c r="O434" s="374" t="s">
        <v>2158</v>
      </c>
      <c r="P434" s="283">
        <f>(C42)</f>
        <v>5</v>
      </c>
      <c r="Q434" s="374" t="s">
        <v>1771</v>
      </c>
      <c r="R434" s="283">
        <f>(M434*P434)</f>
        <v>150</v>
      </c>
      <c r="W434" s="744"/>
      <c r="X434" s="785" t="s">
        <v>32</v>
      </c>
      <c r="AF434" s="374"/>
      <c r="AG434" s="748" t="s">
        <v>1586</v>
      </c>
    </row>
    <row r="435" spans="1:33" ht="24" customHeight="1">
      <c r="A435" s="792">
        <f t="shared" si="44"/>
        <v>268</v>
      </c>
      <c r="B435" s="374" t="s">
        <v>1117</v>
      </c>
      <c r="C435" s="283">
        <v>4</v>
      </c>
      <c r="D435" s="374" t="s">
        <v>868</v>
      </c>
      <c r="H435" s="374" t="s">
        <v>386</v>
      </c>
      <c r="K435" s="751">
        <f>(K433+C19/10*F427)</f>
        <v>557.12</v>
      </c>
      <c r="O435" s="374" t="s">
        <v>2159</v>
      </c>
      <c r="U435" s="751" t="s">
        <v>386</v>
      </c>
      <c r="W435" s="744">
        <f>0.07*C19</f>
        <v>5.52</v>
      </c>
      <c r="X435" s="751">
        <f>X433+W435</f>
        <v>573.23</v>
      </c>
      <c r="AD435" s="374" t="s">
        <v>773</v>
      </c>
      <c r="AF435" s="374"/>
      <c r="AG435" s="283">
        <f>(AG433/10)</f>
        <v>6390.68</v>
      </c>
    </row>
    <row r="436" spans="1:33" ht="24" customHeight="1">
      <c r="A436" s="792">
        <f t="shared" si="44"/>
        <v>269</v>
      </c>
      <c r="B436" s="374" t="s">
        <v>1118</v>
      </c>
      <c r="C436" s="283">
        <v>6.86</v>
      </c>
      <c r="D436" s="374" t="s">
        <v>868</v>
      </c>
      <c r="H436" s="374" t="s">
        <v>388</v>
      </c>
      <c r="K436" s="751">
        <f>(K435+C20/10*F427)</f>
        <v>568.26</v>
      </c>
      <c r="O436" s="374" t="s">
        <v>2160</v>
      </c>
      <c r="U436" s="751" t="s">
        <v>388</v>
      </c>
      <c r="W436" s="744">
        <f>0.07*C20</f>
        <v>11.14</v>
      </c>
      <c r="X436" s="751">
        <f>X435+W436</f>
        <v>584.37</v>
      </c>
      <c r="AF436" s="374"/>
      <c r="AG436" s="748" t="s">
        <v>2055</v>
      </c>
    </row>
    <row r="437" spans="1:33" ht="24" customHeight="1">
      <c r="A437" s="792">
        <f t="shared" si="44"/>
        <v>270</v>
      </c>
      <c r="B437" s="374" t="s">
        <v>1120</v>
      </c>
      <c r="C437" s="283">
        <v>9.15</v>
      </c>
      <c r="D437" s="374" t="s">
        <v>868</v>
      </c>
      <c r="H437" s="374" t="s">
        <v>2232</v>
      </c>
      <c r="K437" s="751">
        <f>(K436+C21/10*F427)</f>
        <v>579.4</v>
      </c>
      <c r="O437" s="374" t="s">
        <v>2161</v>
      </c>
      <c r="U437" s="751" t="s">
        <v>2232</v>
      </c>
      <c r="W437" s="744">
        <f>W436</f>
        <v>11.14</v>
      </c>
      <c r="X437" s="751">
        <f>X436+W437</f>
        <v>595.51</v>
      </c>
      <c r="AB437" s="374" t="s">
        <v>249</v>
      </c>
      <c r="AF437" s="374"/>
    </row>
    <row r="438" spans="1:33" ht="24" customHeight="1">
      <c r="A438" s="792">
        <f t="shared" si="44"/>
        <v>271</v>
      </c>
      <c r="B438" s="374" t="s">
        <v>240</v>
      </c>
      <c r="C438" s="283">
        <v>14.59</v>
      </c>
      <c r="D438" s="374" t="s">
        <v>868</v>
      </c>
      <c r="H438" s="374" t="s">
        <v>380</v>
      </c>
      <c r="K438" s="751">
        <f>(K437+C21/10*F427)</f>
        <v>590.54</v>
      </c>
      <c r="O438" s="374" t="s">
        <v>2164</v>
      </c>
      <c r="U438" s="751" t="s">
        <v>380</v>
      </c>
      <c r="W438" s="744">
        <f>W437</f>
        <v>11.14</v>
      </c>
      <c r="X438" s="751">
        <f>X437+W438</f>
        <v>606.65</v>
      </c>
      <c r="AF438" s="374"/>
    </row>
    <row r="439" spans="1:33" ht="24" customHeight="1">
      <c r="A439" s="792"/>
      <c r="B439" s="374"/>
      <c r="D439" s="374"/>
      <c r="H439" s="374" t="s">
        <v>833</v>
      </c>
      <c r="K439" s="751">
        <f>(K438+C20/10*F427)</f>
        <v>601.67999999999995</v>
      </c>
      <c r="O439" s="374"/>
      <c r="U439" s="751" t="s">
        <v>833</v>
      </c>
      <c r="W439" s="744">
        <f>W438</f>
        <v>11.14</v>
      </c>
      <c r="X439" s="751">
        <f>X438+W439</f>
        <v>617.79</v>
      </c>
      <c r="AC439" s="283" t="s">
        <v>1539</v>
      </c>
      <c r="AD439" s="374" t="s">
        <v>3842</v>
      </c>
      <c r="AF439" s="374"/>
    </row>
    <row r="440" spans="1:33" ht="24" customHeight="1">
      <c r="A440" s="792">
        <f>(A438+1)</f>
        <v>272</v>
      </c>
      <c r="B440" s="374" t="s">
        <v>1121</v>
      </c>
      <c r="C440" s="283">
        <v>21.74</v>
      </c>
      <c r="D440" s="374" t="s">
        <v>868</v>
      </c>
      <c r="H440" s="744" t="s">
        <v>2143</v>
      </c>
      <c r="M440" s="283">
        <v>8</v>
      </c>
      <c r="N440" s="374" t="s">
        <v>769</v>
      </c>
      <c r="O440" s="374" t="s">
        <v>2144</v>
      </c>
      <c r="P440" s="283">
        <f>(C43)</f>
        <v>9.35</v>
      </c>
      <c r="Q440" s="374" t="s">
        <v>769</v>
      </c>
      <c r="R440" s="283">
        <f>(M440*P440)</f>
        <v>74.8</v>
      </c>
      <c r="W440" s="744"/>
      <c r="AD440" s="748" t="s">
        <v>1586</v>
      </c>
      <c r="AF440" s="374"/>
    </row>
    <row r="441" spans="1:33" ht="24" customHeight="1">
      <c r="A441" s="792">
        <f t="shared" si="44"/>
        <v>273</v>
      </c>
      <c r="B441" s="745" t="s">
        <v>4576</v>
      </c>
      <c r="D441" s="374" t="s">
        <v>975</v>
      </c>
      <c r="H441" s="744" t="s">
        <v>2119</v>
      </c>
      <c r="M441" s="283">
        <v>8</v>
      </c>
      <c r="N441" s="374" t="s">
        <v>769</v>
      </c>
      <c r="O441" s="374" t="s">
        <v>467</v>
      </c>
      <c r="P441" s="283">
        <f>(C50)</f>
        <v>13.35</v>
      </c>
      <c r="Q441" s="374" t="s">
        <v>769</v>
      </c>
      <c r="R441" s="283">
        <f>(M441*P441)</f>
        <v>106.8</v>
      </c>
      <c r="W441" s="744"/>
      <c r="AB441" s="283">
        <v>0.75</v>
      </c>
      <c r="AC441" s="283" t="s">
        <v>869</v>
      </c>
      <c r="AD441" s="374" t="s">
        <v>2279</v>
      </c>
      <c r="AE441" s="283">
        <f>AG435</f>
        <v>6390.68</v>
      </c>
      <c r="AF441" s="374" t="s">
        <v>868</v>
      </c>
      <c r="AG441" s="283">
        <f>(AB441*AE441)</f>
        <v>4793.01</v>
      </c>
    </row>
    <row r="442" spans="1:33" ht="38.25" customHeight="1">
      <c r="A442" s="792">
        <f t="shared" si="44"/>
        <v>274</v>
      </c>
      <c r="B442" s="374" t="s">
        <v>1115</v>
      </c>
      <c r="C442" s="283">
        <v>28.6</v>
      </c>
      <c r="D442" s="374" t="s">
        <v>868</v>
      </c>
      <c r="F442" s="774">
        <v>12</v>
      </c>
      <c r="G442" s="283" t="s">
        <v>2251</v>
      </c>
      <c r="H442" s="374" t="s">
        <v>468</v>
      </c>
      <c r="M442" s="283">
        <v>1</v>
      </c>
      <c r="N442" s="374" t="s">
        <v>449</v>
      </c>
      <c r="O442" s="374" t="s">
        <v>1684</v>
      </c>
      <c r="P442" s="283">
        <f>(C57)</f>
        <v>12.1</v>
      </c>
      <c r="Q442" s="374" t="s">
        <v>449</v>
      </c>
      <c r="R442" s="283">
        <f>(M442*P442)</f>
        <v>12.1</v>
      </c>
      <c r="W442" s="744"/>
      <c r="AB442" s="283">
        <v>1</v>
      </c>
      <c r="AC442" s="283" t="s">
        <v>769</v>
      </c>
      <c r="AD442" s="374" t="s">
        <v>2009</v>
      </c>
      <c r="AE442" s="283">
        <f>AE427</f>
        <v>999</v>
      </c>
      <c r="AF442" s="374" t="s">
        <v>868</v>
      </c>
      <c r="AG442" s="283">
        <f>(AB442*AE442)</f>
        <v>999</v>
      </c>
    </row>
    <row r="443" spans="1:33" ht="24" customHeight="1">
      <c r="A443" s="792">
        <f t="shared" si="44"/>
        <v>275</v>
      </c>
      <c r="B443" s="374" t="s">
        <v>1116</v>
      </c>
      <c r="C443" s="283">
        <v>34.700000000000003</v>
      </c>
      <c r="D443" s="374" t="s">
        <v>868</v>
      </c>
      <c r="H443" s="374" t="s">
        <v>1112</v>
      </c>
      <c r="M443" s="283">
        <v>1</v>
      </c>
      <c r="N443" s="374" t="s">
        <v>449</v>
      </c>
      <c r="O443" s="374" t="s">
        <v>450</v>
      </c>
      <c r="Q443" s="374" t="s">
        <v>449</v>
      </c>
      <c r="R443" s="283">
        <v>0</v>
      </c>
      <c r="W443" s="744"/>
      <c r="AC443" s="283" t="s">
        <v>449</v>
      </c>
      <c r="AD443" s="374" t="s">
        <v>450</v>
      </c>
      <c r="AE443" s="374" t="s">
        <v>975</v>
      </c>
      <c r="AF443" s="374" t="s">
        <v>449</v>
      </c>
      <c r="AG443" s="283">
        <v>0</v>
      </c>
    </row>
    <row r="444" spans="1:33" ht="24" customHeight="1">
      <c r="A444" s="792">
        <f t="shared" si="44"/>
        <v>276</v>
      </c>
      <c r="B444" s="374" t="s">
        <v>1117</v>
      </c>
      <c r="C444" s="283">
        <v>81.400000000000006</v>
      </c>
      <c r="D444" s="374" t="s">
        <v>868</v>
      </c>
      <c r="H444" s="748" t="s">
        <v>1586</v>
      </c>
      <c r="R444" s="748" t="s">
        <v>1586</v>
      </c>
      <c r="W444" s="744"/>
      <c r="AF444" s="374"/>
      <c r="AG444" s="748" t="s">
        <v>1586</v>
      </c>
    </row>
    <row r="445" spans="1:33" ht="24" customHeight="1">
      <c r="A445" s="792">
        <f t="shared" si="44"/>
        <v>277</v>
      </c>
      <c r="B445" s="374" t="s">
        <v>1118</v>
      </c>
      <c r="C445" s="283">
        <v>98.6</v>
      </c>
      <c r="D445" s="374" t="s">
        <v>868</v>
      </c>
      <c r="F445" s="283">
        <v>6570</v>
      </c>
      <c r="G445" s="283" t="s">
        <v>1425</v>
      </c>
      <c r="H445" s="374" t="s">
        <v>1566</v>
      </c>
      <c r="I445" s="283">
        <f>(C78)</f>
        <v>4430.84</v>
      </c>
      <c r="J445" s="374" t="s">
        <v>1594</v>
      </c>
      <c r="K445" s="283">
        <f>(F445*I445)/1000</f>
        <v>29110.62</v>
      </c>
      <c r="O445" s="374" t="s">
        <v>1544</v>
      </c>
      <c r="R445" s="283">
        <f>SUM(R432:R443)</f>
        <v>2474.41</v>
      </c>
      <c r="W445" s="744"/>
      <c r="AD445" s="374" t="s">
        <v>441</v>
      </c>
      <c r="AF445" s="374"/>
      <c r="AG445" s="283">
        <f>SUM(AG441:AG443)</f>
        <v>5792.01</v>
      </c>
    </row>
    <row r="446" spans="1:33" ht="24" customHeight="1">
      <c r="A446" s="792">
        <f t="shared" si="44"/>
        <v>278</v>
      </c>
      <c r="B446" s="374" t="s">
        <v>1120</v>
      </c>
      <c r="C446" s="283">
        <v>110.2</v>
      </c>
      <c r="D446" s="374" t="s">
        <v>868</v>
      </c>
      <c r="F446" s="283">
        <v>1.91</v>
      </c>
      <c r="G446" s="283" t="s">
        <v>869</v>
      </c>
      <c r="H446" s="374" t="s">
        <v>1307</v>
      </c>
      <c r="I446" s="283">
        <f>(K40)</f>
        <v>4364.46</v>
      </c>
      <c r="J446" s="374" t="s">
        <v>869</v>
      </c>
      <c r="K446" s="283">
        <f>(F446*I446)</f>
        <v>8336.1200000000008</v>
      </c>
      <c r="R446" s="748" t="s">
        <v>1586</v>
      </c>
      <c r="W446" s="744"/>
      <c r="AF446" s="374"/>
      <c r="AG446" s="748" t="s">
        <v>1586</v>
      </c>
    </row>
    <row r="447" spans="1:33" ht="24" customHeight="1">
      <c r="A447" s="792">
        <f t="shared" si="44"/>
        <v>279</v>
      </c>
      <c r="B447" s="374" t="s">
        <v>240</v>
      </c>
      <c r="C447" s="283">
        <v>139.80000000000001</v>
      </c>
      <c r="D447" s="374" t="s">
        <v>868</v>
      </c>
      <c r="F447" s="283">
        <v>7</v>
      </c>
      <c r="G447" s="283" t="s">
        <v>868</v>
      </c>
      <c r="H447" s="374" t="s">
        <v>2009</v>
      </c>
      <c r="I447" s="283">
        <f>(C10)</f>
        <v>999</v>
      </c>
      <c r="J447" s="374" t="s">
        <v>868</v>
      </c>
      <c r="K447" s="283">
        <f>(F447*I447)</f>
        <v>6993</v>
      </c>
      <c r="O447" s="374" t="s">
        <v>1545</v>
      </c>
      <c r="R447" s="283">
        <f>(R445/30)</f>
        <v>82.48</v>
      </c>
      <c r="W447" s="744"/>
      <c r="AD447" s="374" t="s">
        <v>552</v>
      </c>
      <c r="AF447" s="374"/>
      <c r="AG447" s="283">
        <f>(AG445/10)</f>
        <v>579.20000000000005</v>
      </c>
    </row>
    <row r="448" spans="1:33" ht="24" customHeight="1">
      <c r="A448" s="792">
        <f t="shared" si="44"/>
        <v>280</v>
      </c>
      <c r="B448" s="374" t="s">
        <v>3523</v>
      </c>
      <c r="C448" s="283">
        <v>363</v>
      </c>
      <c r="D448" s="374" t="s">
        <v>868</v>
      </c>
      <c r="F448" s="283">
        <v>3.6</v>
      </c>
      <c r="G448" s="283" t="s">
        <v>868</v>
      </c>
      <c r="H448" s="374" t="s">
        <v>1712</v>
      </c>
      <c r="I448" s="283">
        <f>(C11)</f>
        <v>932</v>
      </c>
      <c r="J448" s="374" t="s">
        <v>868</v>
      </c>
      <c r="K448" s="283">
        <f>(F448*I448)</f>
        <v>3355.2</v>
      </c>
      <c r="R448" s="748" t="s">
        <v>1586</v>
      </c>
      <c r="W448" s="744"/>
      <c r="AF448" s="374"/>
      <c r="AG448" s="748" t="s">
        <v>2055</v>
      </c>
    </row>
    <row r="449" spans="1:36" ht="24" customHeight="1">
      <c r="A449" s="792">
        <f t="shared" si="44"/>
        <v>281</v>
      </c>
      <c r="B449" s="745" t="s">
        <v>4577</v>
      </c>
      <c r="D449" s="374" t="s">
        <v>975</v>
      </c>
      <c r="F449" s="283">
        <v>7.1</v>
      </c>
      <c r="G449" s="283" t="s">
        <v>868</v>
      </c>
      <c r="H449" s="374" t="s">
        <v>1902</v>
      </c>
      <c r="I449" s="283">
        <f>(C12)</f>
        <v>651</v>
      </c>
      <c r="J449" s="374" t="s">
        <v>868</v>
      </c>
      <c r="K449" s="283">
        <f>(F449*I449)</f>
        <v>4622.1000000000004</v>
      </c>
      <c r="N449" s="374" t="s">
        <v>1555</v>
      </c>
      <c r="O449" s="744" t="s">
        <v>1014</v>
      </c>
      <c r="W449" s="744"/>
      <c r="AD449" s="374" t="s">
        <v>386</v>
      </c>
      <c r="AF449" s="374">
        <f>C19*0.075</f>
        <v>5.92</v>
      </c>
      <c r="AG449" s="751">
        <f>AG447+AF449</f>
        <v>585.12</v>
      </c>
    </row>
    <row r="450" spans="1:36" ht="24" customHeight="1">
      <c r="A450" s="792">
        <f t="shared" si="44"/>
        <v>282</v>
      </c>
      <c r="B450" s="374" t="s">
        <v>1115</v>
      </c>
      <c r="C450" s="283">
        <v>23.2</v>
      </c>
      <c r="D450" s="374" t="s">
        <v>868</v>
      </c>
      <c r="F450" s="283">
        <v>14.1</v>
      </c>
      <c r="G450" s="283" t="s">
        <v>868</v>
      </c>
      <c r="H450" s="374" t="s">
        <v>320</v>
      </c>
      <c r="I450" s="283">
        <f>(C13)</f>
        <v>534</v>
      </c>
      <c r="J450" s="374" t="s">
        <v>868</v>
      </c>
      <c r="K450" s="283">
        <f>(F450*I450)</f>
        <v>7529.4</v>
      </c>
      <c r="O450" s="748" t="s">
        <v>1586</v>
      </c>
      <c r="W450" s="744"/>
      <c r="AD450" s="374" t="s">
        <v>388</v>
      </c>
      <c r="AF450" s="374">
        <f>C20*0.075</f>
        <v>11.94</v>
      </c>
      <c r="AG450" s="751">
        <f t="shared" ref="AG450:AG459" si="46">AG449+AF450</f>
        <v>597.05999999999995</v>
      </c>
    </row>
    <row r="451" spans="1:36" ht="39" customHeight="1">
      <c r="A451" s="792">
        <f t="shared" si="44"/>
        <v>283</v>
      </c>
      <c r="B451" s="374" t="s">
        <v>1116</v>
      </c>
      <c r="C451" s="283">
        <v>34.700000000000003</v>
      </c>
      <c r="D451" s="374" t="s">
        <v>868</v>
      </c>
      <c r="G451" s="283" t="s">
        <v>449</v>
      </c>
      <c r="H451" s="374" t="s">
        <v>450</v>
      </c>
      <c r="I451" s="374" t="s">
        <v>975</v>
      </c>
      <c r="J451" s="374" t="s">
        <v>449</v>
      </c>
      <c r="K451" s="283">
        <v>0</v>
      </c>
      <c r="M451" s="283">
        <v>8.1</v>
      </c>
      <c r="N451" s="374" t="s">
        <v>869</v>
      </c>
      <c r="O451" s="374" t="s">
        <v>617</v>
      </c>
      <c r="P451" s="283">
        <f>(C62)*2</f>
        <v>224.1</v>
      </c>
      <c r="Q451" s="374" t="s">
        <v>869</v>
      </c>
      <c r="R451" s="283">
        <f>(M451*P451)</f>
        <v>1815.21</v>
      </c>
      <c r="W451" s="744"/>
      <c r="AD451" s="374" t="s">
        <v>2232</v>
      </c>
      <c r="AF451" s="374">
        <f>C21*0.075</f>
        <v>11.94</v>
      </c>
      <c r="AG451" s="751">
        <f t="shared" si="46"/>
        <v>609</v>
      </c>
    </row>
    <row r="452" spans="1:36" ht="24" customHeight="1">
      <c r="A452" s="792">
        <f t="shared" si="44"/>
        <v>284</v>
      </c>
      <c r="B452" s="374" t="s">
        <v>1117</v>
      </c>
      <c r="C452" s="283">
        <v>43.7</v>
      </c>
      <c r="D452" s="374" t="s">
        <v>868</v>
      </c>
      <c r="K452" s="748" t="s">
        <v>1586</v>
      </c>
      <c r="M452" s="283">
        <v>8.1</v>
      </c>
      <c r="N452" s="374" t="s">
        <v>869</v>
      </c>
      <c r="O452" s="374" t="s">
        <v>2157</v>
      </c>
      <c r="P452" s="283">
        <f>(C26)</f>
        <v>38.950000000000003</v>
      </c>
      <c r="Q452" s="374" t="s">
        <v>869</v>
      </c>
      <c r="R452" s="283">
        <f>(M452*P452)</f>
        <v>315.5</v>
      </c>
      <c r="W452" s="744"/>
      <c r="AD452" s="374" t="s">
        <v>380</v>
      </c>
      <c r="AF452" s="374">
        <f t="shared" ref="AF452:AF459" si="47">AF451</f>
        <v>11.94</v>
      </c>
      <c r="AG452" s="751">
        <f t="shared" si="46"/>
        <v>620.94000000000005</v>
      </c>
    </row>
    <row r="453" spans="1:36" ht="24" customHeight="1">
      <c r="A453" s="792">
        <f t="shared" si="44"/>
        <v>285</v>
      </c>
      <c r="B453" s="374" t="s">
        <v>1118</v>
      </c>
      <c r="C453" s="283">
        <v>58.1</v>
      </c>
      <c r="D453" s="374" t="s">
        <v>868</v>
      </c>
      <c r="H453" s="374" t="s">
        <v>614</v>
      </c>
      <c r="K453" s="283">
        <f>SUM(K445:K451)</f>
        <v>59946.44</v>
      </c>
      <c r="M453" s="283">
        <v>30</v>
      </c>
      <c r="N453" s="374" t="s">
        <v>1771</v>
      </c>
      <c r="O453" s="374" t="s">
        <v>2158</v>
      </c>
      <c r="P453" s="283">
        <f>(C42)</f>
        <v>5</v>
      </c>
      <c r="Q453" s="374" t="s">
        <v>1771</v>
      </c>
      <c r="R453" s="283">
        <f>(M453*P453)</f>
        <v>150</v>
      </c>
      <c r="W453" s="744"/>
      <c r="AD453" s="374" t="s">
        <v>833</v>
      </c>
      <c r="AF453" s="374">
        <f t="shared" si="47"/>
        <v>11.94</v>
      </c>
      <c r="AG453" s="751">
        <f t="shared" si="46"/>
        <v>632.88</v>
      </c>
      <c r="AJ453" s="283">
        <f>40.81*0.075</f>
        <v>3.06</v>
      </c>
    </row>
    <row r="454" spans="1:36" ht="24" customHeight="1">
      <c r="A454" s="792">
        <f t="shared" si="44"/>
        <v>286</v>
      </c>
      <c r="B454" s="374" t="s">
        <v>1120</v>
      </c>
      <c r="C454" s="283">
        <v>69.8</v>
      </c>
      <c r="D454" s="374" t="s">
        <v>868</v>
      </c>
      <c r="K454" s="748" t="s">
        <v>1586</v>
      </c>
      <c r="O454" s="374" t="s">
        <v>2159</v>
      </c>
      <c r="W454" s="744"/>
      <c r="AD454" s="374" t="s">
        <v>3562</v>
      </c>
      <c r="AE454" s="283">
        <f t="shared" ref="AE454:AE459" si="48">AG454</f>
        <v>644.82000000000005</v>
      </c>
      <c r="AF454" s="374">
        <f t="shared" si="47"/>
        <v>11.94</v>
      </c>
      <c r="AG454" s="751">
        <f t="shared" si="46"/>
        <v>644.82000000000005</v>
      </c>
    </row>
    <row r="455" spans="1:36" ht="24" customHeight="1">
      <c r="A455" s="792">
        <f t="shared" si="44"/>
        <v>287</v>
      </c>
      <c r="B455" s="374" t="s">
        <v>240</v>
      </c>
      <c r="C455" s="283">
        <v>87</v>
      </c>
      <c r="D455" s="374" t="s">
        <v>868</v>
      </c>
      <c r="H455" s="374" t="s">
        <v>773</v>
      </c>
      <c r="K455" s="283">
        <f>(K453/10)</f>
        <v>5994.64</v>
      </c>
      <c r="O455" s="374" t="s">
        <v>2160</v>
      </c>
      <c r="W455" s="744"/>
      <c r="AD455" s="374" t="s">
        <v>3563</v>
      </c>
      <c r="AE455" s="283">
        <f t="shared" si="48"/>
        <v>656.76</v>
      </c>
      <c r="AF455" s="374">
        <f t="shared" si="47"/>
        <v>11.94</v>
      </c>
      <c r="AG455" s="751">
        <f t="shared" si="46"/>
        <v>656.76</v>
      </c>
    </row>
    <row r="456" spans="1:36" ht="24" customHeight="1">
      <c r="A456" s="792">
        <f t="shared" si="44"/>
        <v>288</v>
      </c>
      <c r="B456" s="374" t="s">
        <v>3523</v>
      </c>
      <c r="C456" s="283">
        <v>18.600000000000001</v>
      </c>
      <c r="D456" s="374" t="s">
        <v>868</v>
      </c>
      <c r="K456" s="748" t="s">
        <v>2055</v>
      </c>
      <c r="O456" s="374" t="s">
        <v>2161</v>
      </c>
      <c r="W456" s="744"/>
      <c r="AD456" s="374" t="s">
        <v>3564</v>
      </c>
      <c r="AE456" s="283">
        <f t="shared" si="48"/>
        <v>668.7</v>
      </c>
      <c r="AF456" s="374">
        <f t="shared" si="47"/>
        <v>11.94</v>
      </c>
      <c r="AG456" s="751">
        <f t="shared" si="46"/>
        <v>668.7</v>
      </c>
    </row>
    <row r="457" spans="1:36" ht="24" customHeight="1">
      <c r="A457" s="792">
        <f t="shared" si="44"/>
        <v>289</v>
      </c>
      <c r="B457" s="374" t="s">
        <v>2288</v>
      </c>
      <c r="D457" s="374" t="s">
        <v>975</v>
      </c>
      <c r="O457" s="374" t="s">
        <v>2164</v>
      </c>
      <c r="W457" s="744"/>
      <c r="AD457" s="374" t="s">
        <v>3586</v>
      </c>
      <c r="AE457" s="283">
        <f t="shared" si="48"/>
        <v>680.64</v>
      </c>
      <c r="AF457" s="374">
        <f t="shared" si="47"/>
        <v>11.94</v>
      </c>
      <c r="AG457" s="751">
        <f t="shared" si="46"/>
        <v>680.64</v>
      </c>
    </row>
    <row r="458" spans="1:36" ht="24" customHeight="1">
      <c r="A458" s="792">
        <f t="shared" si="44"/>
        <v>290</v>
      </c>
      <c r="B458" s="374" t="s">
        <v>1115</v>
      </c>
      <c r="C458" s="283">
        <v>355.95</v>
      </c>
      <c r="D458" s="374" t="s">
        <v>868</v>
      </c>
      <c r="G458" s="283" t="s">
        <v>2251</v>
      </c>
      <c r="H458" s="374" t="s">
        <v>151</v>
      </c>
      <c r="M458" s="283">
        <v>8</v>
      </c>
      <c r="N458" s="374" t="s">
        <v>769</v>
      </c>
      <c r="O458" s="374" t="s">
        <v>2144</v>
      </c>
      <c r="P458" s="283">
        <f>(C44)</f>
        <v>9.35</v>
      </c>
      <c r="Q458" s="374" t="s">
        <v>769</v>
      </c>
      <c r="R458" s="283">
        <f>(M458*P458)</f>
        <v>74.8</v>
      </c>
      <c r="W458" s="744"/>
      <c r="AD458" s="374" t="s">
        <v>3584</v>
      </c>
      <c r="AE458" s="283">
        <f t="shared" si="48"/>
        <v>692.58</v>
      </c>
      <c r="AF458" s="374">
        <f t="shared" si="47"/>
        <v>11.94</v>
      </c>
      <c r="AG458" s="751">
        <f t="shared" si="46"/>
        <v>692.58</v>
      </c>
    </row>
    <row r="459" spans="1:36" ht="24" customHeight="1">
      <c r="A459" s="792">
        <f t="shared" si="44"/>
        <v>291</v>
      </c>
      <c r="B459" s="374" t="s">
        <v>1116</v>
      </c>
      <c r="C459" s="283">
        <v>536.54999999999995</v>
      </c>
      <c r="D459" s="374" t="s">
        <v>868</v>
      </c>
      <c r="H459" s="748" t="s">
        <v>1586</v>
      </c>
      <c r="M459" s="283">
        <v>8</v>
      </c>
      <c r="N459" s="374" t="s">
        <v>769</v>
      </c>
      <c r="O459" s="374" t="s">
        <v>467</v>
      </c>
      <c r="P459" s="283">
        <f>(C51)</f>
        <v>13.5</v>
      </c>
      <c r="Q459" s="374" t="s">
        <v>769</v>
      </c>
      <c r="R459" s="283">
        <f>(M459*P459)</f>
        <v>108</v>
      </c>
      <c r="W459" s="744"/>
      <c r="AE459" s="283">
        <f t="shared" si="48"/>
        <v>704.52</v>
      </c>
      <c r="AF459" s="374">
        <f t="shared" si="47"/>
        <v>11.94</v>
      </c>
      <c r="AG459" s="751">
        <f t="shared" si="46"/>
        <v>704.52</v>
      </c>
    </row>
    <row r="460" spans="1:36" ht="24" customHeight="1">
      <c r="A460" s="792">
        <f t="shared" si="44"/>
        <v>292</v>
      </c>
      <c r="B460" s="374" t="s">
        <v>1117</v>
      </c>
      <c r="C460" s="283">
        <v>789.6</v>
      </c>
      <c r="D460" s="374" t="s">
        <v>975</v>
      </c>
      <c r="F460" s="283">
        <v>0.5</v>
      </c>
      <c r="G460" s="283" t="s">
        <v>869</v>
      </c>
      <c r="H460" s="374" t="s">
        <v>2279</v>
      </c>
      <c r="I460" s="283">
        <f>(K455)</f>
        <v>5994.64</v>
      </c>
      <c r="J460" s="374" t="s">
        <v>868</v>
      </c>
      <c r="K460" s="283">
        <f>(F460*I460)</f>
        <v>2997.32</v>
      </c>
      <c r="M460" s="283">
        <v>1</v>
      </c>
      <c r="N460" s="374" t="s">
        <v>449</v>
      </c>
      <c r="O460" s="374" t="s">
        <v>1684</v>
      </c>
      <c r="P460" s="283">
        <f>(C57)</f>
        <v>12.1</v>
      </c>
      <c r="Q460" s="374" t="s">
        <v>449</v>
      </c>
      <c r="R460" s="283">
        <f>(M460*P460)</f>
        <v>12.1</v>
      </c>
      <c r="U460" s="787" t="s">
        <v>4014</v>
      </c>
      <c r="W460" s="744"/>
      <c r="Y460" s="746"/>
      <c r="AA460" s="787" t="s">
        <v>4135</v>
      </c>
      <c r="AE460" s="283">
        <f>AG460</f>
        <v>716.46</v>
      </c>
      <c r="AF460" s="374">
        <f>AF459</f>
        <v>11.94</v>
      </c>
      <c r="AG460" s="751">
        <f>AG459+AF460</f>
        <v>716.46</v>
      </c>
    </row>
    <row r="461" spans="1:36" ht="24" customHeight="1">
      <c r="A461" s="792">
        <f t="shared" si="44"/>
        <v>293</v>
      </c>
      <c r="B461" s="374" t="s">
        <v>4578</v>
      </c>
      <c r="C461" s="283">
        <f>AE49</f>
        <v>0</v>
      </c>
      <c r="D461" s="374" t="s">
        <v>868</v>
      </c>
      <c r="F461" s="283">
        <v>1</v>
      </c>
      <c r="G461" s="283" t="s">
        <v>769</v>
      </c>
      <c r="H461" s="374" t="s">
        <v>2009</v>
      </c>
      <c r="I461" s="283">
        <f>(C10)</f>
        <v>999</v>
      </c>
      <c r="J461" s="374" t="s">
        <v>868</v>
      </c>
      <c r="K461" s="283">
        <f>(F461*I461)</f>
        <v>999</v>
      </c>
      <c r="M461" s="283">
        <v>1</v>
      </c>
      <c r="N461" s="374" t="s">
        <v>449</v>
      </c>
      <c r="O461" s="374" t="s">
        <v>450</v>
      </c>
      <c r="Q461" s="374" t="s">
        <v>449</v>
      </c>
      <c r="R461" s="283">
        <v>0</v>
      </c>
      <c r="S461" s="744" t="s">
        <v>1610</v>
      </c>
      <c r="T461" s="283" t="s">
        <v>2251</v>
      </c>
      <c r="U461" s="374" t="s">
        <v>882</v>
      </c>
      <c r="W461" s="744"/>
      <c r="Y461" s="744" t="s">
        <v>1610</v>
      </c>
      <c r="Z461" s="283" t="s">
        <v>2251</v>
      </c>
      <c r="AA461" s="374" t="s">
        <v>882</v>
      </c>
      <c r="AC461" s="374"/>
      <c r="AE461" s="283">
        <f>AG461</f>
        <v>728.4</v>
      </c>
      <c r="AF461" s="374">
        <f>AF460</f>
        <v>11.94</v>
      </c>
      <c r="AG461" s="751">
        <f>AG460+AF461</f>
        <v>728.4</v>
      </c>
    </row>
    <row r="462" spans="1:36" ht="24" customHeight="1">
      <c r="A462" s="792">
        <f t="shared" si="44"/>
        <v>294</v>
      </c>
      <c r="B462" s="374" t="s">
        <v>4579</v>
      </c>
      <c r="C462" s="283">
        <f>AE50</f>
        <v>0</v>
      </c>
      <c r="D462" s="374" t="s">
        <v>868</v>
      </c>
      <c r="G462" s="283" t="s">
        <v>449</v>
      </c>
      <c r="H462" s="374" t="s">
        <v>450</v>
      </c>
      <c r="I462" s="374" t="s">
        <v>975</v>
      </c>
      <c r="J462" s="374" t="s">
        <v>449</v>
      </c>
      <c r="K462" s="283">
        <v>0</v>
      </c>
      <c r="R462" s="748" t="s">
        <v>1586</v>
      </c>
      <c r="S462" s="283"/>
      <c r="U462" s="374" t="s">
        <v>1095</v>
      </c>
      <c r="W462" s="744"/>
      <c r="AA462" s="374" t="s">
        <v>1095</v>
      </c>
      <c r="AC462" s="374"/>
      <c r="AE462" s="283">
        <f t="shared" ref="AE462:AE525" si="49">AG462</f>
        <v>740.34</v>
      </c>
      <c r="AF462" s="374">
        <f>AF461</f>
        <v>11.94</v>
      </c>
      <c r="AG462" s="751">
        <f>AG461+AF462</f>
        <v>740.34</v>
      </c>
    </row>
    <row r="463" spans="1:36" ht="24" customHeight="1">
      <c r="A463" s="792">
        <f t="shared" si="44"/>
        <v>295</v>
      </c>
      <c r="B463" s="374" t="s">
        <v>1081</v>
      </c>
      <c r="C463" s="283">
        <v>350</v>
      </c>
      <c r="D463" s="283">
        <v>375</v>
      </c>
      <c r="K463" s="748" t="s">
        <v>1586</v>
      </c>
      <c r="O463" s="374" t="s">
        <v>1544</v>
      </c>
      <c r="R463" s="283">
        <f>SUM(R451:R461)</f>
        <v>2475.61</v>
      </c>
      <c r="S463" s="283"/>
      <c r="U463" s="374" t="s">
        <v>4007</v>
      </c>
      <c r="W463" s="744"/>
      <c r="AA463" s="374" t="s">
        <v>4007</v>
      </c>
      <c r="AC463" s="374"/>
      <c r="AE463" s="283">
        <f t="shared" si="49"/>
        <v>752.28</v>
      </c>
      <c r="AF463" s="374">
        <f>AF462</f>
        <v>11.94</v>
      </c>
      <c r="AG463" s="751">
        <f>AG462+AF463</f>
        <v>752.28</v>
      </c>
    </row>
    <row r="464" spans="1:36" ht="24" customHeight="1">
      <c r="A464" s="792">
        <f t="shared" si="44"/>
        <v>296</v>
      </c>
      <c r="B464" s="374" t="s">
        <v>2096</v>
      </c>
      <c r="C464" s="283">
        <v>400</v>
      </c>
      <c r="D464" s="283">
        <v>425</v>
      </c>
      <c r="H464" s="374" t="s">
        <v>441</v>
      </c>
      <c r="K464" s="283">
        <f>SUM(K460:K462)</f>
        <v>3996.32</v>
      </c>
      <c r="R464" s="748" t="s">
        <v>1586</v>
      </c>
      <c r="S464" s="283"/>
      <c r="U464" s="748" t="s">
        <v>1586</v>
      </c>
      <c r="W464" s="744"/>
      <c r="AA464" s="748" t="s">
        <v>1586</v>
      </c>
      <c r="AC464" s="374"/>
      <c r="AE464" s="283">
        <f t="shared" si="49"/>
        <v>764.22</v>
      </c>
      <c r="AF464" s="374">
        <f>AF463</f>
        <v>11.94</v>
      </c>
      <c r="AG464" s="751">
        <f>AG463+AF464</f>
        <v>764.22</v>
      </c>
    </row>
    <row r="465" spans="1:33" ht="60.75" customHeight="1">
      <c r="A465" s="792">
        <f t="shared" si="44"/>
        <v>297</v>
      </c>
      <c r="B465" s="374" t="s">
        <v>1058</v>
      </c>
      <c r="C465" s="283">
        <v>450</v>
      </c>
      <c r="D465" s="283">
        <v>500</v>
      </c>
      <c r="K465" s="748" t="s">
        <v>1586</v>
      </c>
      <c r="O465" s="374" t="s">
        <v>1545</v>
      </c>
      <c r="R465" s="283">
        <f>(R463/30)</f>
        <v>82.52</v>
      </c>
      <c r="S465" s="283">
        <v>0.01</v>
      </c>
      <c r="T465" s="283" t="s">
        <v>869</v>
      </c>
      <c r="U465" s="777" t="s">
        <v>4015</v>
      </c>
      <c r="V465" s="283">
        <f>Z719</f>
        <v>7888.83</v>
      </c>
      <c r="W465" s="744" t="s">
        <v>869</v>
      </c>
      <c r="X465" s="283">
        <f>(S465*V465)</f>
        <v>78.89</v>
      </c>
      <c r="Y465" s="283">
        <v>0.01</v>
      </c>
      <c r="Z465" s="283" t="s">
        <v>869</v>
      </c>
      <c r="AA465" s="777" t="s">
        <v>4136</v>
      </c>
      <c r="AB465" s="283">
        <f>Y689</f>
        <v>8433.1</v>
      </c>
      <c r="AC465" s="374" t="s">
        <v>869</v>
      </c>
      <c r="AD465" s="283">
        <f>(Y465*AB465)</f>
        <v>84.33</v>
      </c>
      <c r="AE465" s="283" t="str">
        <f t="shared" si="49"/>
        <v>|</v>
      </c>
      <c r="AG465" s="374" t="s">
        <v>2259</v>
      </c>
    </row>
    <row r="466" spans="1:33" ht="24" customHeight="1">
      <c r="A466" s="792">
        <f t="shared" si="44"/>
        <v>298</v>
      </c>
      <c r="B466" s="374" t="s">
        <v>1953</v>
      </c>
      <c r="C466" s="283">
        <v>77.819999999999993</v>
      </c>
      <c r="D466" s="374" t="s">
        <v>868</v>
      </c>
      <c r="H466" s="374" t="s">
        <v>552</v>
      </c>
      <c r="K466" s="283">
        <f>(K464/10)</f>
        <v>399.63</v>
      </c>
      <c r="R466" s="748" t="s">
        <v>1586</v>
      </c>
      <c r="S466" s="283">
        <v>0.01</v>
      </c>
      <c r="T466" s="283" t="s">
        <v>869</v>
      </c>
      <c r="U466" s="374" t="s">
        <v>985</v>
      </c>
      <c r="W466" s="744" t="s">
        <v>449</v>
      </c>
      <c r="X466" s="283">
        <v>1.1499999999999999</v>
      </c>
      <c r="Y466" s="283">
        <v>0.01</v>
      </c>
      <c r="Z466" s="283" t="s">
        <v>869</v>
      </c>
      <c r="AA466" s="374" t="s">
        <v>985</v>
      </c>
      <c r="AC466" s="374" t="s">
        <v>449</v>
      </c>
      <c r="AD466" s="283">
        <v>1.1499999999999999</v>
      </c>
      <c r="AE466" s="283" t="str">
        <f t="shared" si="49"/>
        <v>|</v>
      </c>
      <c r="AG466" s="374" t="s">
        <v>2259</v>
      </c>
    </row>
    <row r="467" spans="1:33" ht="24" customHeight="1">
      <c r="A467" s="792">
        <f t="shared" si="44"/>
        <v>299</v>
      </c>
      <c r="B467" s="374" t="s">
        <v>1954</v>
      </c>
      <c r="C467" s="283">
        <v>99.74</v>
      </c>
      <c r="D467" s="374" t="s">
        <v>868</v>
      </c>
      <c r="K467" s="748" t="s">
        <v>2055</v>
      </c>
      <c r="N467" s="374" t="s">
        <v>1955</v>
      </c>
      <c r="O467" s="744" t="s">
        <v>1956</v>
      </c>
      <c r="S467" s="283"/>
      <c r="U467" s="374" t="s">
        <v>130</v>
      </c>
      <c r="W467" s="744"/>
      <c r="AA467" s="374" t="s">
        <v>130</v>
      </c>
      <c r="AC467" s="374"/>
      <c r="AE467" s="283" t="str">
        <f t="shared" si="49"/>
        <v>|</v>
      </c>
      <c r="AG467" s="374" t="s">
        <v>2259</v>
      </c>
    </row>
    <row r="468" spans="1:33" ht="24" customHeight="1">
      <c r="A468" s="792">
        <f t="shared" si="44"/>
        <v>300</v>
      </c>
      <c r="B468" s="374" t="s">
        <v>1117</v>
      </c>
      <c r="C468" s="283">
        <v>165</v>
      </c>
      <c r="D468" s="374" t="s">
        <v>868</v>
      </c>
      <c r="H468" s="374" t="s">
        <v>386</v>
      </c>
      <c r="K468" s="751">
        <f>(K466+C19/10*F460)</f>
        <v>403.58</v>
      </c>
      <c r="O468" s="748" t="s">
        <v>1586</v>
      </c>
      <c r="S468" s="283"/>
      <c r="W468" s="744"/>
      <c r="X468" s="748" t="s">
        <v>1586</v>
      </c>
      <c r="AC468" s="374"/>
      <c r="AD468" s="748" t="s">
        <v>1586</v>
      </c>
      <c r="AE468" s="283" t="str">
        <f t="shared" si="49"/>
        <v>|</v>
      </c>
      <c r="AG468" s="374" t="s">
        <v>2259</v>
      </c>
    </row>
    <row r="469" spans="1:33" ht="24" customHeight="1">
      <c r="A469" s="792">
        <f t="shared" si="44"/>
        <v>301</v>
      </c>
      <c r="B469" s="374" t="s">
        <v>1118</v>
      </c>
      <c r="C469" s="283">
        <v>258</v>
      </c>
      <c r="D469" s="374" t="s">
        <v>868</v>
      </c>
      <c r="H469" s="374" t="s">
        <v>388</v>
      </c>
      <c r="K469" s="751">
        <f>(K468+C20/10*F460)</f>
        <v>411.54</v>
      </c>
      <c r="M469" s="283">
        <v>8.1</v>
      </c>
      <c r="N469" s="374" t="s">
        <v>869</v>
      </c>
      <c r="O469" s="374" t="s">
        <v>617</v>
      </c>
      <c r="P469" s="283">
        <f>(C62)*2</f>
        <v>224.1</v>
      </c>
      <c r="Q469" s="374" t="s">
        <v>869</v>
      </c>
      <c r="R469" s="283">
        <f>(M469*P469)</f>
        <v>1815.21</v>
      </c>
      <c r="S469" s="283"/>
      <c r="U469" s="374" t="s">
        <v>1486</v>
      </c>
      <c r="W469" s="744"/>
      <c r="X469" s="283">
        <f>SUM(X465:X467)</f>
        <v>80.040000000000006</v>
      </c>
      <c r="AA469" s="374" t="s">
        <v>1486</v>
      </c>
      <c r="AC469" s="374"/>
      <c r="AD469" s="283">
        <f>SUM(AD465:AD467)</f>
        <v>85.48</v>
      </c>
      <c r="AE469" s="283" t="str">
        <f t="shared" si="49"/>
        <v>|</v>
      </c>
      <c r="AG469" s="374" t="s">
        <v>2259</v>
      </c>
    </row>
    <row r="470" spans="1:33" ht="24" customHeight="1">
      <c r="A470" s="792">
        <f t="shared" si="44"/>
        <v>302</v>
      </c>
      <c r="B470" s="374" t="s">
        <v>1120</v>
      </c>
      <c r="C470" s="283">
        <v>298</v>
      </c>
      <c r="D470" s="374" t="s">
        <v>868</v>
      </c>
      <c r="H470" s="374" t="s">
        <v>2232</v>
      </c>
      <c r="K470" s="751">
        <f>(K469+C21/10*F460)</f>
        <v>419.5</v>
      </c>
      <c r="M470" s="283">
        <v>8.1</v>
      </c>
      <c r="N470" s="374" t="s">
        <v>869</v>
      </c>
      <c r="O470" s="374" t="s">
        <v>2157</v>
      </c>
      <c r="P470" s="283">
        <f>(C26)</f>
        <v>38.950000000000003</v>
      </c>
      <c r="Q470" s="374" t="s">
        <v>869</v>
      </c>
      <c r="R470" s="283">
        <f>(M470*P470)</f>
        <v>315.5</v>
      </c>
      <c r="S470" s="283"/>
      <c r="W470" s="744"/>
      <c r="X470" s="748" t="s">
        <v>1586</v>
      </c>
      <c r="AC470" s="374"/>
      <c r="AD470" s="748" t="s">
        <v>1586</v>
      </c>
      <c r="AE470" s="283" t="str">
        <f t="shared" si="49"/>
        <v>|</v>
      </c>
      <c r="AG470" s="374" t="s">
        <v>2259</v>
      </c>
    </row>
    <row r="471" spans="1:33" ht="24" customHeight="1">
      <c r="A471" s="792">
        <f t="shared" si="44"/>
        <v>303</v>
      </c>
      <c r="B471" s="374" t="s">
        <v>240</v>
      </c>
      <c r="C471" s="283">
        <v>398</v>
      </c>
      <c r="D471" s="374" t="s">
        <v>868</v>
      </c>
      <c r="H471" s="374" t="s">
        <v>380</v>
      </c>
      <c r="K471" s="751">
        <f>(K470+C21/10*F460)</f>
        <v>427.46</v>
      </c>
      <c r="L471" s="283">
        <f t="shared" ref="L471:L477" si="50">K471-K470</f>
        <v>7.96</v>
      </c>
      <c r="M471" s="283">
        <v>30</v>
      </c>
      <c r="N471" s="374" t="s">
        <v>1771</v>
      </c>
      <c r="O471" s="374" t="s">
        <v>2158</v>
      </c>
      <c r="P471" s="283">
        <f>(C42)</f>
        <v>5</v>
      </c>
      <c r="Q471" s="374" t="s">
        <v>1771</v>
      </c>
      <c r="R471" s="283">
        <f>(M471*P471)</f>
        <v>150</v>
      </c>
      <c r="S471" s="283"/>
      <c r="U471" s="374" t="s">
        <v>773</v>
      </c>
      <c r="W471" s="744"/>
      <c r="X471" s="283">
        <f>ROUND(X469*100,0)</f>
        <v>8004</v>
      </c>
      <c r="AA471" s="374" t="s">
        <v>773</v>
      </c>
      <c r="AC471" s="374"/>
      <c r="AD471" s="283">
        <f>ROUND(AD469*100,0)</f>
        <v>8548</v>
      </c>
      <c r="AE471" s="283" t="str">
        <f t="shared" si="49"/>
        <v>|</v>
      </c>
      <c r="AG471" s="374" t="s">
        <v>2259</v>
      </c>
    </row>
    <row r="472" spans="1:33" ht="15.75">
      <c r="A472" s="792">
        <f t="shared" si="44"/>
        <v>304</v>
      </c>
      <c r="B472" s="374" t="s">
        <v>1121</v>
      </c>
      <c r="D472" s="374" t="s">
        <v>868</v>
      </c>
      <c r="H472" s="374" t="s">
        <v>1532</v>
      </c>
      <c r="K472" s="751">
        <f>(K471+C21/10*F460)</f>
        <v>435.42</v>
      </c>
      <c r="L472" s="283">
        <f t="shared" si="50"/>
        <v>7.96</v>
      </c>
      <c r="O472" s="374" t="s">
        <v>2159</v>
      </c>
      <c r="S472" s="374" t="s">
        <v>975</v>
      </c>
      <c r="W472" s="744"/>
      <c r="Y472" s="374" t="s">
        <v>975</v>
      </c>
      <c r="AC472" s="374"/>
      <c r="AE472" s="283" t="str">
        <f t="shared" si="49"/>
        <v>|</v>
      </c>
      <c r="AG472" s="374" t="s">
        <v>2259</v>
      </c>
    </row>
    <row r="473" spans="1:33" ht="15.75">
      <c r="A473" s="792"/>
      <c r="B473" s="374"/>
      <c r="D473" s="374"/>
      <c r="H473" s="374">
        <v>5</v>
      </c>
      <c r="K473" s="751">
        <f>(K472+C21/10*F460)</f>
        <v>443.38</v>
      </c>
      <c r="L473" s="283">
        <f t="shared" si="50"/>
        <v>7.96</v>
      </c>
      <c r="O473" s="374"/>
      <c r="S473" s="283"/>
      <c r="W473" s="744"/>
      <c r="X473" s="748" t="s">
        <v>2055</v>
      </c>
      <c r="AC473" s="374"/>
      <c r="AD473" s="748" t="s">
        <v>2055</v>
      </c>
      <c r="AG473" s="374"/>
    </row>
    <row r="474" spans="1:33" ht="15.75">
      <c r="A474" s="792"/>
      <c r="B474" s="374"/>
      <c r="D474" s="374"/>
      <c r="H474" s="374">
        <v>6</v>
      </c>
      <c r="K474" s="751">
        <f>(K473+C21/10*F460)</f>
        <v>451.34</v>
      </c>
      <c r="L474" s="283">
        <f t="shared" si="50"/>
        <v>7.96</v>
      </c>
      <c r="O474" s="374"/>
      <c r="S474" s="283"/>
      <c r="T474" s="283" t="s">
        <v>675</v>
      </c>
      <c r="U474" s="374" t="s">
        <v>990</v>
      </c>
      <c r="W474" s="744"/>
      <c r="Z474" s="283" t="s">
        <v>675</v>
      </c>
      <c r="AA474" s="374" t="s">
        <v>990</v>
      </c>
      <c r="AC474" s="374"/>
      <c r="AG474" s="374"/>
    </row>
    <row r="475" spans="1:33" ht="15.75">
      <c r="A475" s="792"/>
      <c r="B475" s="374"/>
      <c r="D475" s="374"/>
      <c r="H475" s="374">
        <v>7</v>
      </c>
      <c r="K475" s="751">
        <f>(K474+C21/10*F460)</f>
        <v>459.3</v>
      </c>
      <c r="L475" s="283">
        <f t="shared" si="50"/>
        <v>7.96</v>
      </c>
      <c r="O475" s="374"/>
      <c r="S475" s="283"/>
      <c r="U475" s="374" t="s">
        <v>1653</v>
      </c>
      <c r="W475" s="744"/>
      <c r="AA475" s="374" t="s">
        <v>1653</v>
      </c>
      <c r="AC475" s="374"/>
      <c r="AG475" s="374"/>
    </row>
    <row r="476" spans="1:33" ht="15.75">
      <c r="A476" s="792"/>
      <c r="B476" s="374"/>
      <c r="D476" s="374"/>
      <c r="H476" s="374">
        <v>8</v>
      </c>
      <c r="K476" s="751">
        <f>(K475+C21/10*F460)</f>
        <v>467.26</v>
      </c>
      <c r="L476" s="283">
        <f t="shared" si="50"/>
        <v>7.96</v>
      </c>
      <c r="O476" s="374"/>
      <c r="S476" s="283"/>
      <c r="U476" s="748" t="s">
        <v>1586</v>
      </c>
      <c r="W476" s="744"/>
      <c r="AA476" s="748" t="s">
        <v>1586</v>
      </c>
      <c r="AC476" s="374"/>
      <c r="AG476" s="374"/>
    </row>
    <row r="477" spans="1:33" ht="15.75">
      <c r="A477" s="792"/>
      <c r="B477" s="374"/>
      <c r="D477" s="374"/>
      <c r="H477" s="374">
        <v>9</v>
      </c>
      <c r="K477" s="751">
        <f>(K476+C21/10*F460)</f>
        <v>475.22</v>
      </c>
      <c r="L477" s="283">
        <f t="shared" si="50"/>
        <v>7.96</v>
      </c>
      <c r="O477" s="374"/>
      <c r="S477" s="746">
        <v>1.4E-2</v>
      </c>
      <c r="T477" s="283" t="s">
        <v>869</v>
      </c>
      <c r="U477" s="374" t="s">
        <v>1325</v>
      </c>
      <c r="V477" s="283">
        <f>X471</f>
        <v>8004</v>
      </c>
      <c r="W477" s="744" t="s">
        <v>869</v>
      </c>
      <c r="X477" s="283">
        <f>(S477*V477)</f>
        <v>112.06</v>
      </c>
      <c r="Y477" s="746">
        <v>1.4E-2</v>
      </c>
      <c r="Z477" s="283" t="s">
        <v>869</v>
      </c>
      <c r="AA477" s="374" t="s">
        <v>1325</v>
      </c>
      <c r="AB477" s="283">
        <f>AD471</f>
        <v>8548</v>
      </c>
      <c r="AC477" s="374" t="s">
        <v>869</v>
      </c>
      <c r="AD477" s="283">
        <f>(Y477*AB477)</f>
        <v>119.67</v>
      </c>
      <c r="AG477" s="374"/>
    </row>
    <row r="478" spans="1:33" ht="15.75">
      <c r="A478" s="792"/>
      <c r="B478" s="374"/>
      <c r="D478" s="374"/>
      <c r="H478" s="374">
        <v>10</v>
      </c>
      <c r="K478" s="751">
        <f>(K477+C21/10*F460)</f>
        <v>483.18</v>
      </c>
      <c r="L478" s="283">
        <f>K478-K477</f>
        <v>7.96</v>
      </c>
      <c r="O478" s="374"/>
      <c r="U478" s="374" t="s">
        <v>1774</v>
      </c>
      <c r="W478" s="744"/>
      <c r="X478" s="374" t="s">
        <v>975</v>
      </c>
      <c r="Y478" s="746"/>
      <c r="AA478" s="374" t="s">
        <v>1774</v>
      </c>
      <c r="AC478" s="374"/>
      <c r="AD478" s="374" t="s">
        <v>975</v>
      </c>
      <c r="AG478" s="374"/>
    </row>
    <row r="479" spans="1:33" ht="15.75">
      <c r="A479" s="792"/>
      <c r="B479" s="374"/>
      <c r="D479" s="374"/>
      <c r="H479" s="374"/>
      <c r="K479" s="751">
        <f>(K478+C21/10*F460)</f>
        <v>491.14</v>
      </c>
      <c r="L479" s="283">
        <f>K479-K478</f>
        <v>7.96</v>
      </c>
      <c r="O479" s="374"/>
      <c r="S479" s="283">
        <v>0.5</v>
      </c>
      <c r="T479" s="283" t="s">
        <v>769</v>
      </c>
      <c r="U479" s="374" t="s">
        <v>2009</v>
      </c>
      <c r="V479" s="283">
        <f>C10</f>
        <v>999</v>
      </c>
      <c r="W479" s="744" t="s">
        <v>769</v>
      </c>
      <c r="X479" s="283">
        <f>(S479*V479)</f>
        <v>499.5</v>
      </c>
      <c r="Y479" s="283">
        <v>0.5</v>
      </c>
      <c r="Z479" s="283" t="s">
        <v>769</v>
      </c>
      <c r="AA479" s="374" t="s">
        <v>2009</v>
      </c>
      <c r="AB479" s="283">
        <f>V479</f>
        <v>999</v>
      </c>
      <c r="AC479" s="374" t="s">
        <v>769</v>
      </c>
      <c r="AD479" s="283">
        <f>(Y479*AB479)</f>
        <v>499.5</v>
      </c>
      <c r="AG479" s="374"/>
    </row>
    <row r="480" spans="1:33" ht="15.75">
      <c r="A480" s="792">
        <f>(A472+1)</f>
        <v>305</v>
      </c>
      <c r="B480" s="745" t="s">
        <v>5847</v>
      </c>
      <c r="D480" s="374" t="s">
        <v>868</v>
      </c>
      <c r="F480" s="744" t="s">
        <v>1957</v>
      </c>
      <c r="G480" s="283" t="s">
        <v>2251</v>
      </c>
      <c r="H480" s="374" t="s">
        <v>1958</v>
      </c>
      <c r="K480" s="751">
        <f>(K479+C21/10*F460)</f>
        <v>499.1</v>
      </c>
      <c r="L480" s="283">
        <f>K480-K479</f>
        <v>7.96</v>
      </c>
      <c r="O480" s="374" t="s">
        <v>2160</v>
      </c>
      <c r="S480" s="283">
        <v>0.75</v>
      </c>
      <c r="T480" s="283" t="s">
        <v>769</v>
      </c>
      <c r="U480" s="374" t="s">
        <v>1902</v>
      </c>
      <c r="V480" s="283">
        <f>C12</f>
        <v>651</v>
      </c>
      <c r="W480" s="744" t="s">
        <v>769</v>
      </c>
      <c r="X480" s="283">
        <f>(S480*V480)</f>
        <v>488.25</v>
      </c>
      <c r="Y480" s="283">
        <v>0.75</v>
      </c>
      <c r="Z480" s="283" t="s">
        <v>769</v>
      </c>
      <c r="AA480" s="374" t="s">
        <v>1902</v>
      </c>
      <c r="AB480" s="283">
        <f>V480</f>
        <v>651</v>
      </c>
      <c r="AC480" s="374" t="s">
        <v>769</v>
      </c>
      <c r="AD480" s="283">
        <f>(Y480*AB480)</f>
        <v>488.25</v>
      </c>
      <c r="AE480" s="283" t="str">
        <f t="shared" si="49"/>
        <v>|</v>
      </c>
      <c r="AG480" s="374" t="s">
        <v>2259</v>
      </c>
    </row>
    <row r="481" spans="1:33" ht="50.25" customHeight="1">
      <c r="A481" s="792">
        <f t="shared" si="44"/>
        <v>306</v>
      </c>
      <c r="B481" s="374" t="s">
        <v>1115</v>
      </c>
      <c r="C481" s="283">
        <v>168</v>
      </c>
      <c r="D481" s="374" t="s">
        <v>868</v>
      </c>
      <c r="H481" s="374" t="s">
        <v>2238</v>
      </c>
      <c r="O481" s="374" t="s">
        <v>2161</v>
      </c>
      <c r="S481" s="283"/>
      <c r="T481" s="283" t="s">
        <v>449</v>
      </c>
      <c r="U481" s="374" t="s">
        <v>450</v>
      </c>
      <c r="W481" s="744" t="s">
        <v>449</v>
      </c>
      <c r="X481" s="283">
        <v>0</v>
      </c>
      <c r="Z481" s="283" t="s">
        <v>449</v>
      </c>
      <c r="AA481" s="374" t="s">
        <v>450</v>
      </c>
      <c r="AB481" s="283">
        <f>V481</f>
        <v>0</v>
      </c>
      <c r="AC481" s="374" t="s">
        <v>449</v>
      </c>
      <c r="AD481" s="283">
        <v>0</v>
      </c>
      <c r="AE481" s="283" t="str">
        <f t="shared" si="49"/>
        <v>|</v>
      </c>
      <c r="AG481" s="374" t="s">
        <v>2259</v>
      </c>
    </row>
    <row r="482" spans="1:33" ht="30.75" customHeight="1">
      <c r="A482" s="792">
        <f t="shared" si="44"/>
        <v>307</v>
      </c>
      <c r="B482" s="374" t="s">
        <v>1116</v>
      </c>
      <c r="C482" s="283">
        <v>350</v>
      </c>
      <c r="D482" s="374" t="s">
        <v>868</v>
      </c>
      <c r="H482" s="748" t="s">
        <v>1586</v>
      </c>
      <c r="O482" s="374" t="s">
        <v>2164</v>
      </c>
      <c r="S482" s="283"/>
      <c r="W482" s="744"/>
      <c r="X482" s="748" t="s">
        <v>1586</v>
      </c>
      <c r="AC482" s="374"/>
      <c r="AD482" s="748" t="s">
        <v>1586</v>
      </c>
      <c r="AE482" s="283" t="str">
        <f t="shared" si="49"/>
        <v>|</v>
      </c>
      <c r="AG482" s="374" t="s">
        <v>2259</v>
      </c>
    </row>
    <row r="483" spans="1:33" ht="24" customHeight="1">
      <c r="A483" s="792">
        <f t="shared" si="44"/>
        <v>308</v>
      </c>
      <c r="B483" s="374" t="s">
        <v>1117</v>
      </c>
      <c r="C483" s="283">
        <v>592</v>
      </c>
      <c r="D483" s="374" t="s">
        <v>868</v>
      </c>
      <c r="F483" s="283">
        <v>1</v>
      </c>
      <c r="G483" s="283" t="s">
        <v>869</v>
      </c>
      <c r="H483" s="374" t="s">
        <v>6023</v>
      </c>
      <c r="I483" s="283">
        <f>(C26)</f>
        <v>38.950000000000003</v>
      </c>
      <c r="J483" s="374" t="s">
        <v>869</v>
      </c>
      <c r="K483" s="751">
        <f>(F483*I483)</f>
        <v>38.950000000000003</v>
      </c>
      <c r="M483" s="283">
        <v>8</v>
      </c>
      <c r="N483" s="374" t="s">
        <v>769</v>
      </c>
      <c r="O483" s="374" t="s">
        <v>2144</v>
      </c>
      <c r="P483" s="283">
        <f>(C45)</f>
        <v>11.2</v>
      </c>
      <c r="Q483" s="374" t="s">
        <v>769</v>
      </c>
      <c r="R483" s="283">
        <f>(M483*P483)</f>
        <v>89.6</v>
      </c>
      <c r="S483" s="283"/>
      <c r="U483" s="374" t="s">
        <v>102</v>
      </c>
      <c r="W483" s="744"/>
      <c r="X483" s="283">
        <f>SUM(X477:X481)</f>
        <v>1099.81</v>
      </c>
      <c r="AA483" s="374" t="s">
        <v>102</v>
      </c>
      <c r="AC483" s="374"/>
      <c r="AD483" s="283">
        <f>SUM(AD477:AD481)</f>
        <v>1107.42</v>
      </c>
      <c r="AE483" s="283" t="str">
        <f t="shared" si="49"/>
        <v>|</v>
      </c>
      <c r="AG483" s="374" t="s">
        <v>2259</v>
      </c>
    </row>
    <row r="484" spans="1:33" ht="24" customHeight="1">
      <c r="A484" s="792">
        <f t="shared" si="44"/>
        <v>309</v>
      </c>
      <c r="B484" s="374" t="s">
        <v>1118</v>
      </c>
      <c r="C484" s="283">
        <v>760</v>
      </c>
      <c r="D484" s="374" t="s">
        <v>868</v>
      </c>
      <c r="K484" s="748" t="s">
        <v>2055</v>
      </c>
      <c r="M484" s="283">
        <v>8</v>
      </c>
      <c r="N484" s="374" t="s">
        <v>769</v>
      </c>
      <c r="O484" s="374" t="s">
        <v>467</v>
      </c>
      <c r="P484" s="283">
        <f>(C53)</f>
        <v>28.05</v>
      </c>
      <c r="Q484" s="374" t="s">
        <v>769</v>
      </c>
      <c r="R484" s="283">
        <f>(M484*P484)</f>
        <v>224.4</v>
      </c>
      <c r="S484" s="283"/>
      <c r="W484" s="744"/>
      <c r="X484" s="748" t="s">
        <v>1586</v>
      </c>
      <c r="AC484" s="374"/>
      <c r="AD484" s="748" t="s">
        <v>1586</v>
      </c>
      <c r="AE484" s="283" t="str">
        <f t="shared" si="49"/>
        <v>|</v>
      </c>
      <c r="AG484" s="374" t="s">
        <v>2259</v>
      </c>
    </row>
    <row r="485" spans="1:33" ht="24" customHeight="1">
      <c r="A485" s="792">
        <f t="shared" si="44"/>
        <v>310</v>
      </c>
      <c r="B485" s="374" t="s">
        <v>1120</v>
      </c>
      <c r="C485" s="283">
        <v>977</v>
      </c>
      <c r="D485" s="374" t="s">
        <v>868</v>
      </c>
      <c r="F485" s="765">
        <v>7.3</v>
      </c>
      <c r="G485" s="283" t="s">
        <v>2251</v>
      </c>
      <c r="H485" s="374" t="s">
        <v>2240</v>
      </c>
      <c r="M485" s="283">
        <v>1</v>
      </c>
      <c r="N485" s="374" t="s">
        <v>449</v>
      </c>
      <c r="O485" s="374" t="s">
        <v>1684</v>
      </c>
      <c r="P485" s="283">
        <f>(C57)</f>
        <v>12.1</v>
      </c>
      <c r="Q485" s="374" t="s">
        <v>449</v>
      </c>
      <c r="R485" s="283">
        <f>(M485*P485)</f>
        <v>12.1</v>
      </c>
      <c r="S485" s="283"/>
      <c r="U485" s="374" t="s">
        <v>552</v>
      </c>
      <c r="W485" s="744"/>
      <c r="X485" s="283">
        <f>(X483/0.372)</f>
        <v>2956.48</v>
      </c>
      <c r="AA485" s="374" t="s">
        <v>552</v>
      </c>
      <c r="AC485" s="374"/>
      <c r="AD485" s="283">
        <f>(AD483/0.372)</f>
        <v>2976.94</v>
      </c>
      <c r="AE485" s="283" t="str">
        <f t="shared" si="49"/>
        <v>|</v>
      </c>
      <c r="AG485" s="374" t="s">
        <v>2259</v>
      </c>
    </row>
    <row r="486" spans="1:33" ht="24" customHeight="1">
      <c r="A486" s="792">
        <f t="shared" si="44"/>
        <v>311</v>
      </c>
      <c r="B486" s="374" t="s">
        <v>240</v>
      </c>
      <c r="C486" s="283">
        <v>1241</v>
      </c>
      <c r="D486" s="374" t="s">
        <v>868</v>
      </c>
      <c r="F486" s="374" t="s">
        <v>975</v>
      </c>
      <c r="H486" s="374" t="s">
        <v>963</v>
      </c>
      <c r="M486" s="283">
        <v>1</v>
      </c>
      <c r="N486" s="374" t="s">
        <v>449</v>
      </c>
      <c r="O486" s="374" t="s">
        <v>450</v>
      </c>
      <c r="Q486" s="374" t="s">
        <v>449</v>
      </c>
      <c r="R486" s="283">
        <v>0</v>
      </c>
      <c r="S486" s="283"/>
      <c r="W486" s="744"/>
      <c r="X486" s="748" t="s">
        <v>2055</v>
      </c>
      <c r="AC486" s="374"/>
      <c r="AD486" s="748" t="s">
        <v>2055</v>
      </c>
      <c r="AE486" s="283" t="str">
        <f t="shared" si="49"/>
        <v>|</v>
      </c>
      <c r="AG486" s="374" t="s">
        <v>2259</v>
      </c>
    </row>
    <row r="487" spans="1:33" ht="24" customHeight="1">
      <c r="A487" s="792">
        <f t="shared" si="44"/>
        <v>312</v>
      </c>
      <c r="B487" s="374" t="s">
        <v>1121</v>
      </c>
      <c r="C487" s="283">
        <v>1523</v>
      </c>
      <c r="D487" s="374" t="s">
        <v>868</v>
      </c>
      <c r="F487" s="374" t="s">
        <v>975</v>
      </c>
      <c r="H487" s="748" t="s">
        <v>2299</v>
      </c>
      <c r="R487" s="748" t="s">
        <v>1586</v>
      </c>
      <c r="S487" s="283"/>
      <c r="U487" s="374" t="s">
        <v>386</v>
      </c>
      <c r="V487" s="283">
        <f>X485</f>
        <v>2956.48</v>
      </c>
      <c r="W487" s="744">
        <f>J660</f>
        <v>4.51</v>
      </c>
      <c r="X487" s="751">
        <f>V487+W487</f>
        <v>2960.99</v>
      </c>
      <c r="AA487" s="374" t="s">
        <v>386</v>
      </c>
      <c r="AB487" s="283">
        <f>AD485</f>
        <v>2976.94</v>
      </c>
      <c r="AC487" s="374">
        <f>W487</f>
        <v>4.51</v>
      </c>
      <c r="AD487" s="751">
        <f>AB487+AC487</f>
        <v>2981.45</v>
      </c>
      <c r="AE487" s="283" t="str">
        <f t="shared" si="49"/>
        <v>|</v>
      </c>
      <c r="AG487" s="374" t="s">
        <v>2259</v>
      </c>
    </row>
    <row r="488" spans="1:33" ht="24" customHeight="1">
      <c r="A488" s="792">
        <f t="shared" si="44"/>
        <v>313</v>
      </c>
      <c r="B488" s="745" t="s">
        <v>5848</v>
      </c>
      <c r="D488" s="374"/>
      <c r="F488" s="283">
        <v>0.13</v>
      </c>
      <c r="G488" s="283" t="s">
        <v>869</v>
      </c>
      <c r="H488" s="374" t="s">
        <v>1307</v>
      </c>
      <c r="I488" s="283">
        <f>(K40)</f>
        <v>4364.46</v>
      </c>
      <c r="J488" s="374" t="s">
        <v>869</v>
      </c>
      <c r="K488" s="283">
        <f t="shared" ref="K488:K493" si="51">(F488*I488)</f>
        <v>567.38</v>
      </c>
      <c r="O488" s="374" t="s">
        <v>1544</v>
      </c>
      <c r="R488" s="283">
        <f>SUM(R469:R486)</f>
        <v>2606.81</v>
      </c>
      <c r="S488" s="283"/>
      <c r="U488" s="374" t="s">
        <v>388</v>
      </c>
      <c r="V488" s="283">
        <f>X487</f>
        <v>2960.99</v>
      </c>
      <c r="W488" s="744">
        <f>J663</f>
        <v>8.89</v>
      </c>
      <c r="X488" s="751">
        <f>V488+W488</f>
        <v>2969.88</v>
      </c>
      <c r="AA488" s="374" t="s">
        <v>388</v>
      </c>
      <c r="AB488" s="283">
        <f>AD487</f>
        <v>2981.45</v>
      </c>
      <c r="AC488" s="374">
        <f>W488</f>
        <v>8.89</v>
      </c>
      <c r="AD488" s="751">
        <f>AB488+AC488</f>
        <v>2990.34</v>
      </c>
      <c r="AE488" s="283" t="str">
        <f t="shared" si="49"/>
        <v>|</v>
      </c>
      <c r="AG488" s="374" t="s">
        <v>2259</v>
      </c>
    </row>
    <row r="489" spans="1:33" ht="24" customHeight="1">
      <c r="A489" s="792">
        <f t="shared" ref="A489:A495" si="52">(A488+1)</f>
        <v>314</v>
      </c>
      <c r="B489" s="374" t="s">
        <v>1115</v>
      </c>
      <c r="C489" s="283">
        <v>169</v>
      </c>
      <c r="D489" s="374" t="s">
        <v>868</v>
      </c>
      <c r="F489" s="283">
        <v>0.7</v>
      </c>
      <c r="G489" s="283" t="s">
        <v>769</v>
      </c>
      <c r="H489" s="374" t="s">
        <v>2009</v>
      </c>
      <c r="I489" s="283">
        <f>(C10)</f>
        <v>999</v>
      </c>
      <c r="J489" s="374" t="s">
        <v>769</v>
      </c>
      <c r="K489" s="283">
        <f t="shared" si="51"/>
        <v>699.3</v>
      </c>
      <c r="R489" s="748" t="s">
        <v>1586</v>
      </c>
      <c r="S489" s="283"/>
      <c r="U489" s="374" t="s">
        <v>2232</v>
      </c>
      <c r="V489" s="283">
        <f>X488</f>
        <v>2969.88</v>
      </c>
      <c r="W489" s="744">
        <f>J664</f>
        <v>8.89</v>
      </c>
      <c r="X489" s="751">
        <f>V489+W489</f>
        <v>2978.77</v>
      </c>
      <c r="AA489" s="374" t="s">
        <v>2232</v>
      </c>
      <c r="AB489" s="283">
        <f>AD488</f>
        <v>2990.34</v>
      </c>
      <c r="AC489" s="374">
        <f>W489</f>
        <v>8.89</v>
      </c>
      <c r="AD489" s="751">
        <f>AB489+AC489</f>
        <v>2999.23</v>
      </c>
      <c r="AE489" s="283" t="str">
        <f t="shared" si="49"/>
        <v>|</v>
      </c>
      <c r="AG489" s="374" t="s">
        <v>2259</v>
      </c>
    </row>
    <row r="490" spans="1:33" ht="33.75" customHeight="1">
      <c r="A490" s="792">
        <f t="shared" si="52"/>
        <v>315</v>
      </c>
      <c r="B490" s="374" t="s">
        <v>1116</v>
      </c>
      <c r="C490" s="283">
        <v>241</v>
      </c>
      <c r="D490" s="374" t="s">
        <v>868</v>
      </c>
      <c r="F490" s="283">
        <v>0.7</v>
      </c>
      <c r="G490" s="283" t="s">
        <v>769</v>
      </c>
      <c r="H490" s="374" t="s">
        <v>1712</v>
      </c>
      <c r="I490" s="283">
        <f>(C11)</f>
        <v>932</v>
      </c>
      <c r="J490" s="374" t="s">
        <v>769</v>
      </c>
      <c r="K490" s="283">
        <f t="shared" si="51"/>
        <v>652.4</v>
      </c>
      <c r="O490" s="374" t="s">
        <v>1545</v>
      </c>
      <c r="R490" s="283">
        <f>(R488/30)</f>
        <v>86.89</v>
      </c>
      <c r="S490" s="283"/>
      <c r="U490" s="374" t="s">
        <v>380</v>
      </c>
      <c r="V490" s="283">
        <f>X489</f>
        <v>2978.77</v>
      </c>
      <c r="W490" s="744">
        <f>J665</f>
        <v>8.89</v>
      </c>
      <c r="X490" s="751">
        <f>V490+W490</f>
        <v>2987.66</v>
      </c>
      <c r="AA490" s="374" t="s">
        <v>380</v>
      </c>
      <c r="AB490" s="283">
        <f>AD489</f>
        <v>2999.23</v>
      </c>
      <c r="AC490" s="374">
        <f>W490</f>
        <v>8.89</v>
      </c>
      <c r="AD490" s="751">
        <f>AB490+AC490</f>
        <v>3008.12</v>
      </c>
      <c r="AE490" s="283" t="str">
        <f t="shared" si="49"/>
        <v>|</v>
      </c>
      <c r="AG490" s="374" t="s">
        <v>2259</v>
      </c>
    </row>
    <row r="491" spans="1:33" ht="24" customHeight="1">
      <c r="A491" s="792">
        <f t="shared" si="52"/>
        <v>316</v>
      </c>
      <c r="B491" s="374" t="s">
        <v>1117</v>
      </c>
      <c r="C491" s="283">
        <v>351</v>
      </c>
      <c r="D491" s="374" t="s">
        <v>868</v>
      </c>
      <c r="F491" s="283">
        <v>1.5</v>
      </c>
      <c r="G491" s="283" t="s">
        <v>769</v>
      </c>
      <c r="H491" s="374" t="s">
        <v>1902</v>
      </c>
      <c r="I491" s="283">
        <f>(C12)</f>
        <v>651</v>
      </c>
      <c r="J491" s="374" t="s">
        <v>769</v>
      </c>
      <c r="K491" s="283">
        <f t="shared" si="51"/>
        <v>976.5</v>
      </c>
      <c r="R491" s="748" t="s">
        <v>1586</v>
      </c>
      <c r="S491" s="283"/>
      <c r="U491" s="374" t="s">
        <v>1364</v>
      </c>
      <c r="V491" s="283">
        <f>X490</f>
        <v>2987.66</v>
      </c>
      <c r="W491" s="744">
        <f>J666</f>
        <v>8.89</v>
      </c>
      <c r="X491" s="751">
        <f>V491+W491</f>
        <v>2996.55</v>
      </c>
      <c r="AA491" s="374" t="s">
        <v>1364</v>
      </c>
      <c r="AB491" s="283">
        <f>AD490</f>
        <v>3008.12</v>
      </c>
      <c r="AC491" s="374">
        <f>W491</f>
        <v>8.89</v>
      </c>
      <c r="AD491" s="751">
        <f>AB491+AC491</f>
        <v>3017.01</v>
      </c>
      <c r="AE491" s="283" t="str">
        <f t="shared" si="49"/>
        <v>|</v>
      </c>
      <c r="AG491" s="374" t="s">
        <v>2259</v>
      </c>
    </row>
    <row r="492" spans="1:33" ht="24" customHeight="1">
      <c r="A492" s="792">
        <f t="shared" si="52"/>
        <v>317</v>
      </c>
      <c r="B492" s="374" t="s">
        <v>1118</v>
      </c>
      <c r="C492" s="283">
        <v>513</v>
      </c>
      <c r="D492" s="374" t="s">
        <v>868</v>
      </c>
      <c r="F492" s="283">
        <v>0.5</v>
      </c>
      <c r="G492" s="283" t="s">
        <v>769</v>
      </c>
      <c r="H492" s="374" t="s">
        <v>320</v>
      </c>
      <c r="I492" s="283">
        <f>(C13)</f>
        <v>534</v>
      </c>
      <c r="J492" s="374" t="s">
        <v>769</v>
      </c>
      <c r="K492" s="283">
        <f t="shared" si="51"/>
        <v>267</v>
      </c>
      <c r="M492" s="374" t="s">
        <v>975</v>
      </c>
      <c r="W492" s="744"/>
      <c r="Y492" s="746"/>
      <c r="AA492" s="374" t="s">
        <v>3562</v>
      </c>
      <c r="AC492" s="374">
        <f t="shared" ref="AC492:AC498" si="53">AC491</f>
        <v>8.89</v>
      </c>
      <c r="AD492" s="751">
        <f t="shared" ref="AD492:AD498" si="54">AD491+AC492</f>
        <v>3025.9</v>
      </c>
      <c r="AE492" s="283" t="str">
        <f t="shared" si="49"/>
        <v>|</v>
      </c>
      <c r="AG492" s="374" t="s">
        <v>2259</v>
      </c>
    </row>
    <row r="493" spans="1:33" ht="24" customHeight="1">
      <c r="A493" s="792">
        <f t="shared" si="52"/>
        <v>318</v>
      </c>
      <c r="B493" s="374" t="s">
        <v>1120</v>
      </c>
      <c r="C493" s="283">
        <v>652</v>
      </c>
      <c r="D493" s="374" t="s">
        <v>868</v>
      </c>
      <c r="F493" s="283">
        <v>0.94</v>
      </c>
      <c r="G493" s="283" t="s">
        <v>1645</v>
      </c>
      <c r="H493" s="374" t="s">
        <v>911</v>
      </c>
      <c r="I493" s="283">
        <f>C654</f>
        <v>42.7</v>
      </c>
      <c r="J493" s="374" t="s">
        <v>1645</v>
      </c>
      <c r="K493" s="283">
        <f t="shared" si="51"/>
        <v>40.14</v>
      </c>
      <c r="N493" s="374" t="s">
        <v>2251</v>
      </c>
      <c r="O493" s="374" t="s">
        <v>2047</v>
      </c>
      <c r="W493" s="744"/>
      <c r="Y493" s="746"/>
      <c r="AA493" s="374" t="s">
        <v>3563</v>
      </c>
      <c r="AC493" s="374">
        <f t="shared" si="53"/>
        <v>8.89</v>
      </c>
      <c r="AD493" s="751">
        <f t="shared" si="54"/>
        <v>3034.79</v>
      </c>
      <c r="AE493" s="283" t="str">
        <f t="shared" si="49"/>
        <v>|</v>
      </c>
      <c r="AG493" s="374" t="s">
        <v>2259</v>
      </c>
    </row>
    <row r="494" spans="1:33" ht="24" customHeight="1">
      <c r="A494" s="792">
        <f t="shared" si="52"/>
        <v>319</v>
      </c>
      <c r="B494" s="374" t="s">
        <v>240</v>
      </c>
      <c r="C494" s="283">
        <v>584</v>
      </c>
      <c r="D494" s="374" t="s">
        <v>868</v>
      </c>
      <c r="H494" s="374" t="s">
        <v>450</v>
      </c>
      <c r="I494" s="374" t="s">
        <v>975</v>
      </c>
      <c r="J494" s="374" t="s">
        <v>449</v>
      </c>
      <c r="K494" s="283">
        <v>0</v>
      </c>
      <c r="O494" s="374" t="s">
        <v>2048</v>
      </c>
      <c r="W494" s="744"/>
      <c r="Y494" s="746"/>
      <c r="AA494" s="374" t="s">
        <v>3564</v>
      </c>
      <c r="AC494" s="374">
        <f t="shared" si="53"/>
        <v>8.89</v>
      </c>
      <c r="AD494" s="283">
        <f t="shared" si="54"/>
        <v>3043.68</v>
      </c>
      <c r="AE494" s="283" t="str">
        <f t="shared" si="49"/>
        <v>|</v>
      </c>
      <c r="AG494" s="374" t="s">
        <v>2259</v>
      </c>
    </row>
    <row r="495" spans="1:33" ht="24" customHeight="1">
      <c r="A495" s="792">
        <f t="shared" si="52"/>
        <v>320</v>
      </c>
      <c r="B495" s="374" t="s">
        <v>1121</v>
      </c>
      <c r="D495" s="374" t="s">
        <v>868</v>
      </c>
      <c r="K495" s="748" t="s">
        <v>1586</v>
      </c>
      <c r="O495" s="374" t="s">
        <v>948</v>
      </c>
      <c r="W495" s="744"/>
      <c r="Y495" s="746"/>
      <c r="AA495" s="374" t="s">
        <v>3565</v>
      </c>
      <c r="AC495" s="374">
        <f t="shared" si="53"/>
        <v>8.89</v>
      </c>
      <c r="AD495" s="283">
        <f t="shared" si="54"/>
        <v>3052.57</v>
      </c>
      <c r="AE495" s="283" t="str">
        <f t="shared" si="49"/>
        <v>|</v>
      </c>
      <c r="AG495" s="374" t="s">
        <v>2259</v>
      </c>
    </row>
    <row r="496" spans="1:33" ht="24" customHeight="1">
      <c r="A496" s="792">
        <f>(A495+1)</f>
        <v>321</v>
      </c>
      <c r="B496" s="745" t="s">
        <v>5849</v>
      </c>
      <c r="D496" s="374" t="s">
        <v>868</v>
      </c>
      <c r="H496" s="374" t="s">
        <v>441</v>
      </c>
      <c r="K496" s="283">
        <f>SUM(K487:K494)</f>
        <v>3202.72</v>
      </c>
      <c r="O496" s="748" t="s">
        <v>1586</v>
      </c>
      <c r="W496" s="744"/>
      <c r="Y496" s="746"/>
      <c r="AA496" s="374" t="s">
        <v>3584</v>
      </c>
      <c r="AC496" s="374">
        <f t="shared" si="53"/>
        <v>8.89</v>
      </c>
      <c r="AD496" s="751">
        <f t="shared" si="54"/>
        <v>3061.46</v>
      </c>
      <c r="AE496" s="283" t="str">
        <f t="shared" si="49"/>
        <v>|</v>
      </c>
      <c r="AG496" s="374" t="s">
        <v>2259</v>
      </c>
    </row>
    <row r="497" spans="1:33" ht="24" customHeight="1">
      <c r="A497" s="792">
        <f>(A496+1)</f>
        <v>322</v>
      </c>
      <c r="B497" s="374" t="s">
        <v>4254</v>
      </c>
      <c r="C497" s="283">
        <v>20.3</v>
      </c>
      <c r="D497" s="374" t="s">
        <v>868</v>
      </c>
      <c r="K497" s="748" t="s">
        <v>1586</v>
      </c>
      <c r="N497" s="374" t="s">
        <v>154</v>
      </c>
      <c r="O497" s="744" t="s">
        <v>953</v>
      </c>
      <c r="W497" s="744"/>
      <c r="Y497" s="746"/>
      <c r="AA497" s="374" t="s">
        <v>3585</v>
      </c>
      <c r="AC497" s="374">
        <f t="shared" si="53"/>
        <v>8.89</v>
      </c>
      <c r="AD497" s="751">
        <f t="shared" si="54"/>
        <v>3070.35</v>
      </c>
      <c r="AE497" s="283" t="str">
        <f t="shared" si="49"/>
        <v>|</v>
      </c>
      <c r="AG497" s="374" t="s">
        <v>2259</v>
      </c>
    </row>
    <row r="498" spans="1:33" ht="33.75" customHeight="1">
      <c r="A498" s="792">
        <f>(A497+1)</f>
        <v>323</v>
      </c>
      <c r="B498" s="374" t="s">
        <v>744</v>
      </c>
      <c r="C498" s="283">
        <v>11.5</v>
      </c>
      <c r="D498" s="374" t="s">
        <v>868</v>
      </c>
      <c r="H498" s="757" t="s">
        <v>552</v>
      </c>
      <c r="K498" s="751">
        <f>(K496/10)</f>
        <v>320.27</v>
      </c>
      <c r="O498" s="748" t="s">
        <v>1586</v>
      </c>
      <c r="W498" s="744"/>
      <c r="Y498" s="746"/>
      <c r="AA498" s="374" t="s">
        <v>4622</v>
      </c>
      <c r="AC498" s="374">
        <f t="shared" si="53"/>
        <v>8.89</v>
      </c>
      <c r="AD498" s="751">
        <f t="shared" si="54"/>
        <v>3079.24</v>
      </c>
      <c r="AE498" s="283" t="str">
        <f t="shared" si="49"/>
        <v>|</v>
      </c>
      <c r="AG498" s="374" t="s">
        <v>2259</v>
      </c>
    </row>
    <row r="499" spans="1:33" ht="36" customHeight="1">
      <c r="F499" s="374" t="s">
        <v>975</v>
      </c>
      <c r="W499" s="744"/>
      <c r="AD499" s="751">
        <f>AD498+AC498</f>
        <v>3088.13</v>
      </c>
      <c r="AE499" s="283" t="str">
        <f t="shared" si="49"/>
        <v>|</v>
      </c>
      <c r="AG499" s="374" t="s">
        <v>2259</v>
      </c>
    </row>
    <row r="500" spans="1:33" ht="24" customHeight="1">
      <c r="A500" s="792">
        <f>(A498+1)</f>
        <v>324</v>
      </c>
      <c r="B500" s="374" t="s">
        <v>4255</v>
      </c>
      <c r="C500" s="283">
        <v>28.6</v>
      </c>
      <c r="D500" s="374" t="s">
        <v>868</v>
      </c>
      <c r="K500" s="748" t="s">
        <v>2055</v>
      </c>
      <c r="M500" s="283">
        <v>30</v>
      </c>
      <c r="N500" s="374" t="s">
        <v>1771</v>
      </c>
      <c r="O500" s="374" t="s">
        <v>1664</v>
      </c>
      <c r="P500" s="283">
        <f>(C42)</f>
        <v>5</v>
      </c>
      <c r="Q500" s="374" t="s">
        <v>1771</v>
      </c>
      <c r="R500" s="283">
        <f>(M500*P500)</f>
        <v>150</v>
      </c>
      <c r="W500" s="744"/>
      <c r="AE500" s="283" t="str">
        <f t="shared" si="49"/>
        <v>|</v>
      </c>
      <c r="AG500" s="374" t="s">
        <v>2259</v>
      </c>
    </row>
    <row r="501" spans="1:33" ht="24" customHeight="1">
      <c r="A501" s="792">
        <f t="shared" ref="A501:A563" si="55">(A500+1)</f>
        <v>325</v>
      </c>
      <c r="B501" s="374" t="s">
        <v>1665</v>
      </c>
      <c r="C501" s="283">
        <v>56.74</v>
      </c>
      <c r="D501" s="374" t="s">
        <v>868</v>
      </c>
      <c r="F501" s="744"/>
      <c r="G501" s="283" t="s">
        <v>2251</v>
      </c>
      <c r="H501" s="374" t="s">
        <v>1666</v>
      </c>
      <c r="M501" s="374" t="s">
        <v>975</v>
      </c>
      <c r="O501" s="374" t="s">
        <v>1667</v>
      </c>
      <c r="P501" s="374" t="s">
        <v>975</v>
      </c>
      <c r="R501" s="374" t="s">
        <v>975</v>
      </c>
      <c r="W501" s="744"/>
      <c r="AE501" s="283" t="str">
        <f t="shared" si="49"/>
        <v>|</v>
      </c>
      <c r="AG501" s="374" t="s">
        <v>2259</v>
      </c>
    </row>
    <row r="502" spans="1:33" ht="24" customHeight="1">
      <c r="A502" s="792">
        <f t="shared" si="55"/>
        <v>326</v>
      </c>
      <c r="B502" s="374" t="s">
        <v>1668</v>
      </c>
      <c r="C502" s="283">
        <v>56.74</v>
      </c>
      <c r="D502" s="374" t="s">
        <v>868</v>
      </c>
      <c r="H502" s="374" t="s">
        <v>2269</v>
      </c>
      <c r="M502" s="283">
        <v>8</v>
      </c>
      <c r="N502" s="374" t="s">
        <v>868</v>
      </c>
      <c r="O502" s="374" t="s">
        <v>2144</v>
      </c>
      <c r="P502" s="283">
        <f>(C43)</f>
        <v>9.35</v>
      </c>
      <c r="Q502" s="374" t="s">
        <v>868</v>
      </c>
      <c r="R502" s="283">
        <f t="shared" ref="R502:R507" si="56">(M502*P502)</f>
        <v>74.8</v>
      </c>
      <c r="W502" s="744"/>
      <c r="AE502" s="283" t="str">
        <f t="shared" si="49"/>
        <v>|</v>
      </c>
      <c r="AG502" s="374" t="s">
        <v>2259</v>
      </c>
    </row>
    <row r="503" spans="1:33" ht="45.75" customHeight="1">
      <c r="A503" s="792">
        <f t="shared" si="55"/>
        <v>327</v>
      </c>
      <c r="B503" s="745" t="s">
        <v>5850</v>
      </c>
      <c r="D503" s="374" t="s">
        <v>975</v>
      </c>
      <c r="H503" s="748" t="s">
        <v>1586</v>
      </c>
      <c r="M503" s="283">
        <v>8</v>
      </c>
      <c r="N503" s="374" t="s">
        <v>868</v>
      </c>
      <c r="O503" s="374" t="s">
        <v>467</v>
      </c>
      <c r="P503" s="283">
        <f>(C50)</f>
        <v>13.35</v>
      </c>
      <c r="Q503" s="374" t="s">
        <v>868</v>
      </c>
      <c r="R503" s="283">
        <f t="shared" si="56"/>
        <v>106.8</v>
      </c>
      <c r="W503" s="744"/>
      <c r="AE503" s="283" t="str">
        <f t="shared" si="49"/>
        <v>|</v>
      </c>
      <c r="AG503" s="374" t="s">
        <v>2259</v>
      </c>
    </row>
    <row r="504" spans="1:33" ht="24" customHeight="1">
      <c r="A504" s="792">
        <f t="shared" si="55"/>
        <v>328</v>
      </c>
      <c r="B504" s="374" t="s">
        <v>952</v>
      </c>
      <c r="C504" s="283">
        <v>69.8</v>
      </c>
      <c r="D504" s="374" t="s">
        <v>868</v>
      </c>
      <c r="F504" s="283">
        <v>9</v>
      </c>
      <c r="G504" s="283" t="s">
        <v>869</v>
      </c>
      <c r="H504" s="374" t="s">
        <v>1670</v>
      </c>
      <c r="I504" s="283">
        <f>(C71)</f>
        <v>866.87</v>
      </c>
      <c r="J504" s="374" t="s">
        <v>869</v>
      </c>
      <c r="K504" s="283">
        <f t="shared" ref="K504:K509" si="57">(F504*I504)</f>
        <v>7801.83</v>
      </c>
      <c r="M504" s="283">
        <v>3</v>
      </c>
      <c r="N504" s="374" t="s">
        <v>868</v>
      </c>
      <c r="O504" s="374" t="s">
        <v>1845</v>
      </c>
      <c r="P504" s="283">
        <f>(C41)</f>
        <v>738</v>
      </c>
      <c r="Q504" s="374" t="s">
        <v>868</v>
      </c>
      <c r="R504" s="283">
        <f t="shared" si="56"/>
        <v>2214</v>
      </c>
      <c r="W504" s="744"/>
      <c r="AE504" s="283" t="str">
        <f t="shared" si="49"/>
        <v>|</v>
      </c>
      <c r="AG504" s="374" t="s">
        <v>2259</v>
      </c>
    </row>
    <row r="505" spans="1:33" ht="24" customHeight="1">
      <c r="A505" s="792">
        <f t="shared" si="55"/>
        <v>329</v>
      </c>
      <c r="B505" s="374" t="s">
        <v>744</v>
      </c>
      <c r="C505" s="283">
        <v>15.6</v>
      </c>
      <c r="D505" s="374" t="s">
        <v>868</v>
      </c>
      <c r="F505" s="746">
        <v>3.2309999999999999</v>
      </c>
      <c r="G505" s="283" t="s">
        <v>861</v>
      </c>
      <c r="H505" s="374" t="s">
        <v>862</v>
      </c>
      <c r="I505" s="283">
        <f>(C68)</f>
        <v>6040</v>
      </c>
      <c r="J505" s="374" t="s">
        <v>861</v>
      </c>
      <c r="K505" s="283">
        <f t="shared" si="57"/>
        <v>19515.240000000002</v>
      </c>
      <c r="M505" s="283">
        <v>1</v>
      </c>
      <c r="N505" s="374" t="s">
        <v>868</v>
      </c>
      <c r="O505" s="374" t="s">
        <v>1846</v>
      </c>
      <c r="P505" s="283">
        <f>(C10)</f>
        <v>999</v>
      </c>
      <c r="Q505" s="374" t="s">
        <v>868</v>
      </c>
      <c r="R505" s="283">
        <f t="shared" si="56"/>
        <v>999</v>
      </c>
      <c r="W505" s="744"/>
      <c r="AE505" s="283" t="str">
        <f t="shared" si="49"/>
        <v>|</v>
      </c>
      <c r="AG505" s="374" t="s">
        <v>2259</v>
      </c>
    </row>
    <row r="506" spans="1:33" ht="24" customHeight="1">
      <c r="A506" s="792">
        <f t="shared" si="55"/>
        <v>330</v>
      </c>
      <c r="B506" s="374" t="s">
        <v>1663</v>
      </c>
      <c r="C506" s="283">
        <v>75.3</v>
      </c>
      <c r="D506" s="374" t="s">
        <v>868</v>
      </c>
      <c r="F506" s="283">
        <v>4.5</v>
      </c>
      <c r="G506" s="283" t="s">
        <v>869</v>
      </c>
      <c r="H506" s="374" t="s">
        <v>870</v>
      </c>
      <c r="I506" s="283">
        <f>(C79)</f>
        <v>2074.06</v>
      </c>
      <c r="J506" s="374" t="s">
        <v>869</v>
      </c>
      <c r="K506" s="283">
        <f t="shared" si="57"/>
        <v>9333.27</v>
      </c>
      <c r="M506" s="283">
        <v>2</v>
      </c>
      <c r="N506" s="374" t="s">
        <v>868</v>
      </c>
      <c r="O506" s="374" t="s">
        <v>1902</v>
      </c>
      <c r="P506" s="283">
        <f>(C12)</f>
        <v>651</v>
      </c>
      <c r="Q506" s="374" t="s">
        <v>868</v>
      </c>
      <c r="R506" s="283">
        <f t="shared" si="56"/>
        <v>1302</v>
      </c>
      <c r="W506" s="744"/>
      <c r="AE506" s="283" t="str">
        <f t="shared" si="49"/>
        <v>|</v>
      </c>
      <c r="AG506" s="374" t="s">
        <v>2259</v>
      </c>
    </row>
    <row r="507" spans="1:33" ht="24" customHeight="1">
      <c r="A507" s="792">
        <f t="shared" si="55"/>
        <v>331</v>
      </c>
      <c r="B507" s="374" t="s">
        <v>1665</v>
      </c>
      <c r="C507" s="283">
        <v>100.3</v>
      </c>
      <c r="D507" s="374" t="s">
        <v>868</v>
      </c>
      <c r="F507" s="283">
        <v>3.5</v>
      </c>
      <c r="G507" s="283" t="s">
        <v>868</v>
      </c>
      <c r="H507" s="374" t="s">
        <v>1712</v>
      </c>
      <c r="I507" s="283">
        <f>(C11)</f>
        <v>932</v>
      </c>
      <c r="J507" s="374" t="s">
        <v>868</v>
      </c>
      <c r="K507" s="283">
        <f t="shared" si="57"/>
        <v>3262</v>
      </c>
      <c r="M507" s="283">
        <v>1</v>
      </c>
      <c r="N507" s="374" t="s">
        <v>868</v>
      </c>
      <c r="O507" s="374" t="s">
        <v>320</v>
      </c>
      <c r="P507" s="283">
        <f>(C13)</f>
        <v>534</v>
      </c>
      <c r="Q507" s="374" t="s">
        <v>868</v>
      </c>
      <c r="R507" s="283">
        <f t="shared" si="56"/>
        <v>534</v>
      </c>
      <c r="W507" s="744"/>
      <c r="AE507" s="283" t="str">
        <f t="shared" si="49"/>
        <v>|</v>
      </c>
      <c r="AG507" s="374" t="s">
        <v>2259</v>
      </c>
    </row>
    <row r="508" spans="1:33" ht="24" customHeight="1">
      <c r="A508" s="792">
        <f t="shared" si="55"/>
        <v>332</v>
      </c>
      <c r="B508" s="374" t="s">
        <v>1668</v>
      </c>
      <c r="C508" s="283">
        <v>100.3</v>
      </c>
      <c r="D508" s="374" t="s">
        <v>868</v>
      </c>
      <c r="F508" s="283">
        <v>21.2</v>
      </c>
      <c r="G508" s="283" t="s">
        <v>868</v>
      </c>
      <c r="H508" s="374" t="s">
        <v>1902</v>
      </c>
      <c r="I508" s="283">
        <f>(C12)</f>
        <v>651</v>
      </c>
      <c r="J508" s="374" t="s">
        <v>868</v>
      </c>
      <c r="K508" s="283">
        <f t="shared" si="57"/>
        <v>13801.2</v>
      </c>
      <c r="N508" s="374" t="s">
        <v>449</v>
      </c>
      <c r="O508" s="374" t="s">
        <v>1847</v>
      </c>
      <c r="P508" s="374" t="s">
        <v>975</v>
      </c>
      <c r="Q508" s="374" t="s">
        <v>449</v>
      </c>
      <c r="R508" s="283">
        <f>(C57)</f>
        <v>12.1</v>
      </c>
      <c r="W508" s="744"/>
      <c r="AE508" s="283" t="str">
        <f t="shared" si="49"/>
        <v>|</v>
      </c>
      <c r="AG508" s="374" t="s">
        <v>2259</v>
      </c>
    </row>
    <row r="509" spans="1:33" ht="24" customHeight="1">
      <c r="A509" s="792">
        <f t="shared" si="55"/>
        <v>333</v>
      </c>
      <c r="B509" s="745" t="s">
        <v>5851</v>
      </c>
      <c r="D509" s="374" t="s">
        <v>975</v>
      </c>
      <c r="F509" s="283">
        <v>35.299999999999997</v>
      </c>
      <c r="G509" s="283" t="s">
        <v>868</v>
      </c>
      <c r="H509" s="374" t="s">
        <v>320</v>
      </c>
      <c r="I509" s="283">
        <f>(C13)</f>
        <v>534</v>
      </c>
      <c r="J509" s="374" t="s">
        <v>868</v>
      </c>
      <c r="K509" s="283">
        <f t="shared" si="57"/>
        <v>18850.2</v>
      </c>
      <c r="O509" s="374" t="s">
        <v>1849</v>
      </c>
      <c r="P509" s="374" t="s">
        <v>975</v>
      </c>
      <c r="R509" s="374" t="s">
        <v>975</v>
      </c>
      <c r="W509" s="744"/>
      <c r="AE509" s="283" t="str">
        <f t="shared" si="49"/>
        <v>|</v>
      </c>
      <c r="AG509" s="374" t="s">
        <v>2259</v>
      </c>
    </row>
    <row r="510" spans="1:33" ht="24" customHeight="1">
      <c r="A510" s="792">
        <f t="shared" si="55"/>
        <v>334</v>
      </c>
      <c r="B510" s="374" t="s">
        <v>952</v>
      </c>
      <c r="C510" s="283">
        <v>40.4</v>
      </c>
      <c r="D510" s="374" t="s">
        <v>868</v>
      </c>
      <c r="G510" s="283" t="s">
        <v>449</v>
      </c>
      <c r="H510" s="374" t="s">
        <v>450</v>
      </c>
      <c r="I510" s="374" t="s">
        <v>975</v>
      </c>
      <c r="J510" s="374" t="s">
        <v>449</v>
      </c>
      <c r="K510" s="283">
        <v>0</v>
      </c>
      <c r="N510" s="374" t="s">
        <v>449</v>
      </c>
      <c r="O510" s="374" t="s">
        <v>450</v>
      </c>
      <c r="Q510" s="374" t="s">
        <v>449</v>
      </c>
      <c r="R510" s="283">
        <v>0</v>
      </c>
      <c r="W510" s="744"/>
      <c r="AE510" s="283" t="str">
        <f t="shared" si="49"/>
        <v>|</v>
      </c>
      <c r="AG510" s="374" t="s">
        <v>2259</v>
      </c>
    </row>
    <row r="511" spans="1:33" ht="24" customHeight="1">
      <c r="A511" s="792">
        <f t="shared" si="55"/>
        <v>335</v>
      </c>
      <c r="B511" s="374" t="s">
        <v>744</v>
      </c>
      <c r="C511" s="283">
        <v>47</v>
      </c>
      <c r="D511" s="374" t="s">
        <v>868</v>
      </c>
      <c r="K511" s="748" t="s">
        <v>1586</v>
      </c>
      <c r="R511" s="748" t="s">
        <v>1586</v>
      </c>
      <c r="W511" s="744"/>
      <c r="AE511" s="283" t="str">
        <f t="shared" si="49"/>
        <v>|</v>
      </c>
      <c r="AG511" s="374" t="s">
        <v>2259</v>
      </c>
    </row>
    <row r="512" spans="1:33" ht="24" customHeight="1">
      <c r="A512" s="792">
        <f t="shared" si="55"/>
        <v>336</v>
      </c>
      <c r="B512" s="374" t="s">
        <v>1663</v>
      </c>
      <c r="C512" s="283">
        <v>52</v>
      </c>
      <c r="D512" s="374" t="s">
        <v>868</v>
      </c>
      <c r="H512" s="374" t="s">
        <v>2171</v>
      </c>
      <c r="K512" s="283">
        <f>SUM(K504:K510)</f>
        <v>72563.740000000005</v>
      </c>
      <c r="O512" s="374" t="s">
        <v>1850</v>
      </c>
      <c r="R512" s="283">
        <f>SUM(R500:R510)</f>
        <v>5392.7</v>
      </c>
      <c r="W512" s="744"/>
      <c r="AE512" s="283" t="str">
        <f t="shared" si="49"/>
        <v>|</v>
      </c>
      <c r="AG512" s="374" t="s">
        <v>2259</v>
      </c>
    </row>
    <row r="513" spans="1:36" ht="24" customHeight="1">
      <c r="A513" s="792">
        <f t="shared" si="55"/>
        <v>337</v>
      </c>
      <c r="B513" s="374" t="s">
        <v>1851</v>
      </c>
      <c r="C513" s="283">
        <v>36.61</v>
      </c>
      <c r="D513" s="374" t="s">
        <v>868</v>
      </c>
      <c r="K513" s="748" t="s">
        <v>1586</v>
      </c>
      <c r="R513" s="748" t="s">
        <v>1586</v>
      </c>
      <c r="W513" s="744"/>
      <c r="AE513" s="283" t="str">
        <f t="shared" si="49"/>
        <v>|</v>
      </c>
      <c r="AG513" s="374" t="s">
        <v>2259</v>
      </c>
    </row>
    <row r="514" spans="1:36" ht="24" customHeight="1">
      <c r="A514" s="792">
        <f t="shared" si="55"/>
        <v>338</v>
      </c>
      <c r="B514" s="374" t="s">
        <v>1665</v>
      </c>
      <c r="C514" s="283">
        <v>78.709999999999994</v>
      </c>
      <c r="D514" s="374" t="s">
        <v>868</v>
      </c>
      <c r="H514" s="374" t="s">
        <v>773</v>
      </c>
      <c r="K514" s="283">
        <f>(K512/10)+0.01</f>
        <v>7256.38</v>
      </c>
      <c r="O514" s="374" t="s">
        <v>1545</v>
      </c>
      <c r="R514" s="283">
        <f>(R512/30)</f>
        <v>179.76</v>
      </c>
      <c r="W514" s="744"/>
      <c r="AE514" s="283" t="str">
        <f t="shared" si="49"/>
        <v>|</v>
      </c>
      <c r="AG514" s="374" t="s">
        <v>2259</v>
      </c>
    </row>
    <row r="515" spans="1:36" ht="24" customHeight="1">
      <c r="A515" s="792">
        <f t="shared" si="55"/>
        <v>339</v>
      </c>
      <c r="B515" s="374" t="s">
        <v>1668</v>
      </c>
      <c r="C515" s="283">
        <v>78.709999999999994</v>
      </c>
      <c r="D515" s="374" t="s">
        <v>868</v>
      </c>
      <c r="R515" s="748" t="s">
        <v>1586</v>
      </c>
      <c r="W515" s="744"/>
      <c r="AE515" s="283">
        <f t="shared" si="49"/>
        <v>0</v>
      </c>
    </row>
    <row r="516" spans="1:36" ht="24" customHeight="1">
      <c r="A516" s="792">
        <f t="shared" si="55"/>
        <v>340</v>
      </c>
      <c r="B516" s="374" t="s">
        <v>1852</v>
      </c>
      <c r="D516" s="374" t="s">
        <v>216</v>
      </c>
      <c r="F516" s="283">
        <v>1</v>
      </c>
      <c r="G516" s="283" t="s">
        <v>869</v>
      </c>
      <c r="H516" s="374" t="s">
        <v>44</v>
      </c>
      <c r="K516" s="283">
        <f>C25</f>
        <v>94.2</v>
      </c>
      <c r="N516" s="374" t="s">
        <v>1555</v>
      </c>
      <c r="O516" s="744" t="s">
        <v>217</v>
      </c>
      <c r="W516" s="744"/>
      <c r="AE516" s="283" t="str">
        <f t="shared" si="49"/>
        <v>|</v>
      </c>
      <c r="AG516" s="374" t="s">
        <v>2259</v>
      </c>
    </row>
    <row r="517" spans="1:36" ht="24" customHeight="1">
      <c r="A517" s="792">
        <f t="shared" si="55"/>
        <v>341</v>
      </c>
      <c r="B517" s="374" t="s">
        <v>4256</v>
      </c>
      <c r="C517" s="283">
        <v>20.55</v>
      </c>
      <c r="D517" s="374" t="s">
        <v>1771</v>
      </c>
      <c r="K517" s="748" t="s">
        <v>1586</v>
      </c>
      <c r="O517" s="748" t="s">
        <v>1586</v>
      </c>
      <c r="W517" s="744"/>
      <c r="AE517" s="283" t="str">
        <f t="shared" si="49"/>
        <v>|</v>
      </c>
      <c r="AG517" s="374" t="s">
        <v>2259</v>
      </c>
    </row>
    <row r="518" spans="1:36" ht="24" customHeight="1">
      <c r="A518" s="792">
        <f t="shared" si="55"/>
        <v>342</v>
      </c>
      <c r="B518" s="374" t="s">
        <v>2907</v>
      </c>
      <c r="C518" s="283">
        <v>26</v>
      </c>
      <c r="D518" s="374" t="s">
        <v>1771</v>
      </c>
      <c r="E518" s="283">
        <v>98.6</v>
      </c>
      <c r="H518" s="374" t="s">
        <v>1240</v>
      </c>
      <c r="K518" s="283">
        <f>SUM(K514:K516)</f>
        <v>7350.58</v>
      </c>
      <c r="M518" s="283">
        <v>30</v>
      </c>
      <c r="N518" s="374" t="s">
        <v>1771</v>
      </c>
      <c r="O518" s="374" t="s">
        <v>1664</v>
      </c>
      <c r="P518" s="283">
        <f>(C42)</f>
        <v>5</v>
      </c>
      <c r="Q518" s="374" t="s">
        <v>1771</v>
      </c>
      <c r="R518" s="283">
        <f>(M518*P518)</f>
        <v>150</v>
      </c>
      <c r="W518" s="744"/>
      <c r="AE518" s="283" t="str">
        <f t="shared" si="49"/>
        <v>|</v>
      </c>
      <c r="AG518" s="374" t="s">
        <v>2259</v>
      </c>
    </row>
    <row r="519" spans="1:36" ht="24" customHeight="1">
      <c r="A519" s="792">
        <f t="shared" si="55"/>
        <v>343</v>
      </c>
      <c r="B519" s="374" t="s">
        <v>1241</v>
      </c>
      <c r="C519" s="283">
        <v>35</v>
      </c>
      <c r="D519" s="374" t="s">
        <v>1771</v>
      </c>
      <c r="K519" s="748" t="s">
        <v>1586</v>
      </c>
      <c r="M519" s="374" t="s">
        <v>975</v>
      </c>
      <c r="O519" s="374" t="s">
        <v>1667</v>
      </c>
      <c r="P519" s="374" t="s">
        <v>975</v>
      </c>
      <c r="R519" s="374" t="s">
        <v>975</v>
      </c>
      <c r="W519" s="744"/>
      <c r="AE519" s="283" t="str">
        <f t="shared" si="49"/>
        <v>|</v>
      </c>
      <c r="AG519" s="374" t="s">
        <v>2259</v>
      </c>
    </row>
    <row r="520" spans="1:36" ht="24" customHeight="1">
      <c r="A520" s="792">
        <f t="shared" si="55"/>
        <v>344</v>
      </c>
      <c r="B520" s="374" t="s">
        <v>1242</v>
      </c>
      <c r="C520" s="283">
        <v>52</v>
      </c>
      <c r="D520" s="374" t="s">
        <v>1771</v>
      </c>
      <c r="G520" s="283" t="s">
        <v>1243</v>
      </c>
      <c r="H520" s="374" t="s">
        <v>386</v>
      </c>
      <c r="K520" s="283">
        <f>(K518+C22)</f>
        <v>7470.43</v>
      </c>
      <c r="L520" s="283">
        <f>K520-K518</f>
        <v>119.85</v>
      </c>
      <c r="M520" s="283">
        <v>8</v>
      </c>
      <c r="N520" s="374" t="s">
        <v>868</v>
      </c>
      <c r="O520" s="374" t="s">
        <v>2144</v>
      </c>
      <c r="P520" s="283">
        <f>(C44)</f>
        <v>9.35</v>
      </c>
      <c r="Q520" s="374" t="s">
        <v>868</v>
      </c>
      <c r="R520" s="283">
        <f t="shared" ref="R520:R525" si="58">(M520*P520)</f>
        <v>74.8</v>
      </c>
      <c r="W520" s="744"/>
      <c r="AE520" s="283" t="str">
        <f t="shared" si="49"/>
        <v>|</v>
      </c>
      <c r="AG520" s="374" t="s">
        <v>2259</v>
      </c>
    </row>
    <row r="521" spans="1:36" ht="24" customHeight="1">
      <c r="A521" s="792">
        <f t="shared" si="55"/>
        <v>345</v>
      </c>
      <c r="B521" s="374" t="s">
        <v>1244</v>
      </c>
      <c r="C521" s="283">
        <v>65</v>
      </c>
      <c r="D521" s="283">
        <v>21</v>
      </c>
      <c r="G521" s="283" t="s">
        <v>1245</v>
      </c>
      <c r="H521" s="374" t="s">
        <v>388</v>
      </c>
      <c r="K521" s="283">
        <f>(K520+C23)</f>
        <v>7706.53</v>
      </c>
      <c r="M521" s="283">
        <v>8</v>
      </c>
      <c r="N521" s="374" t="s">
        <v>868</v>
      </c>
      <c r="O521" s="374" t="s">
        <v>467</v>
      </c>
      <c r="P521" s="283">
        <f>(C51)</f>
        <v>13.5</v>
      </c>
      <c r="Q521" s="374" t="s">
        <v>868</v>
      </c>
      <c r="R521" s="283">
        <f t="shared" si="58"/>
        <v>108</v>
      </c>
      <c r="W521" s="744"/>
      <c r="AE521" s="283" t="str">
        <f t="shared" si="49"/>
        <v>|</v>
      </c>
      <c r="AG521" s="374" t="s">
        <v>2259</v>
      </c>
    </row>
    <row r="522" spans="1:36" ht="24" customHeight="1">
      <c r="A522" s="792">
        <f t="shared" si="55"/>
        <v>346</v>
      </c>
      <c r="B522" s="374" t="s">
        <v>376</v>
      </c>
      <c r="C522" s="283">
        <v>82</v>
      </c>
      <c r="D522" s="283">
        <v>37.15</v>
      </c>
      <c r="G522" s="283" t="s">
        <v>426</v>
      </c>
      <c r="H522" s="374" t="s">
        <v>2232</v>
      </c>
      <c r="K522" s="283">
        <f>(K521+C24)</f>
        <v>7942.63</v>
      </c>
      <c r="M522" s="283">
        <v>3</v>
      </c>
      <c r="N522" s="374" t="s">
        <v>868</v>
      </c>
      <c r="O522" s="374" t="s">
        <v>1845</v>
      </c>
      <c r="P522" s="283">
        <f>(C41)</f>
        <v>738</v>
      </c>
      <c r="Q522" s="374" t="s">
        <v>868</v>
      </c>
      <c r="R522" s="283">
        <f t="shared" si="58"/>
        <v>2214</v>
      </c>
      <c r="W522" s="744"/>
      <c r="AE522" s="283" t="str">
        <f t="shared" si="49"/>
        <v>|</v>
      </c>
      <c r="AG522" s="374" t="s">
        <v>2259</v>
      </c>
    </row>
    <row r="523" spans="1:36" ht="24" customHeight="1">
      <c r="A523" s="792">
        <f t="shared" si="55"/>
        <v>347</v>
      </c>
      <c r="B523" s="374" t="s">
        <v>993</v>
      </c>
      <c r="D523" s="374" t="s">
        <v>975</v>
      </c>
      <c r="G523" s="283" t="s">
        <v>994</v>
      </c>
      <c r="H523" s="374" t="s">
        <v>380</v>
      </c>
      <c r="K523" s="283">
        <f>(K522+C24)</f>
        <v>8178.73</v>
      </c>
      <c r="M523" s="283">
        <v>1</v>
      </c>
      <c r="N523" s="374" t="s">
        <v>868</v>
      </c>
      <c r="O523" s="374" t="s">
        <v>1846</v>
      </c>
      <c r="P523" s="283">
        <f>(C10)</f>
        <v>999</v>
      </c>
      <c r="Q523" s="374" t="s">
        <v>868</v>
      </c>
      <c r="R523" s="283">
        <f t="shared" si="58"/>
        <v>999</v>
      </c>
      <c r="W523" s="744"/>
      <c r="AE523" s="283" t="str">
        <f t="shared" si="49"/>
        <v>|::</v>
      </c>
      <c r="AG523" s="374" t="s">
        <v>321</v>
      </c>
    </row>
    <row r="524" spans="1:36" ht="24" customHeight="1">
      <c r="A524" s="792">
        <f t="shared" si="55"/>
        <v>348</v>
      </c>
      <c r="B524" s="374" t="s">
        <v>1115</v>
      </c>
      <c r="C524" s="283">
        <v>4.1900000000000004</v>
      </c>
      <c r="D524" s="374" t="s">
        <v>868</v>
      </c>
      <c r="M524" s="283">
        <v>2</v>
      </c>
      <c r="N524" s="374" t="s">
        <v>868</v>
      </c>
      <c r="O524" s="374" t="s">
        <v>1902</v>
      </c>
      <c r="P524" s="283">
        <f>(C12)</f>
        <v>651</v>
      </c>
      <c r="Q524" s="374" t="s">
        <v>868</v>
      </c>
      <c r="R524" s="283">
        <f t="shared" si="58"/>
        <v>1302</v>
      </c>
      <c r="W524" s="744"/>
      <c r="AE524" s="283">
        <f t="shared" si="49"/>
        <v>0</v>
      </c>
    </row>
    <row r="525" spans="1:36" ht="24" customHeight="1">
      <c r="A525" s="792">
        <f t="shared" si="55"/>
        <v>349</v>
      </c>
      <c r="B525" s="374" t="s">
        <v>1116</v>
      </c>
      <c r="C525" s="283">
        <v>5</v>
      </c>
      <c r="D525" s="374" t="s">
        <v>868</v>
      </c>
      <c r="F525" s="744" t="s">
        <v>995</v>
      </c>
      <c r="G525" s="283" t="s">
        <v>2251</v>
      </c>
      <c r="H525" s="374" t="s">
        <v>996</v>
      </c>
      <c r="M525" s="283">
        <v>1</v>
      </c>
      <c r="N525" s="374" t="s">
        <v>868</v>
      </c>
      <c r="O525" s="374" t="s">
        <v>320</v>
      </c>
      <c r="P525" s="283">
        <f>(C13)</f>
        <v>534</v>
      </c>
      <c r="Q525" s="374" t="s">
        <v>868</v>
      </c>
      <c r="R525" s="283">
        <f t="shared" si="58"/>
        <v>534</v>
      </c>
      <c r="W525" s="744"/>
      <c r="AE525" s="283">
        <f t="shared" si="49"/>
        <v>0</v>
      </c>
    </row>
    <row r="526" spans="1:36" ht="24" customHeight="1">
      <c r="A526" s="792">
        <f t="shared" si="55"/>
        <v>350</v>
      </c>
      <c r="B526" s="374" t="s">
        <v>1117</v>
      </c>
      <c r="C526" s="283">
        <v>8.06</v>
      </c>
      <c r="D526" s="374" t="s">
        <v>868</v>
      </c>
      <c r="H526" s="748" t="s">
        <v>1586</v>
      </c>
      <c r="N526" s="374" t="s">
        <v>449</v>
      </c>
      <c r="O526" s="374" t="s">
        <v>1847</v>
      </c>
      <c r="P526" s="374" t="s">
        <v>975</v>
      </c>
      <c r="Q526" s="374" t="s">
        <v>449</v>
      </c>
      <c r="R526" s="283">
        <f>(C57)</f>
        <v>12.1</v>
      </c>
      <c r="U526" s="788" t="s">
        <v>3995</v>
      </c>
      <c r="W526" s="744"/>
      <c r="AA526" s="788" t="s">
        <v>4137</v>
      </c>
      <c r="AE526" s="283">
        <f t="shared" ref="AE526:AE597" si="59">AG526</f>
        <v>0</v>
      </c>
      <c r="AH526" s="788" t="s">
        <v>4736</v>
      </c>
    </row>
    <row r="527" spans="1:36" ht="24" customHeight="1">
      <c r="A527" s="792">
        <f t="shared" si="55"/>
        <v>351</v>
      </c>
      <c r="B527" s="374" t="s">
        <v>1118</v>
      </c>
      <c r="C527" s="283">
        <v>11.86</v>
      </c>
      <c r="D527" s="374" t="s">
        <v>868</v>
      </c>
      <c r="F527" s="746">
        <v>1.4999999999999999E-2</v>
      </c>
      <c r="G527" s="283" t="s">
        <v>869</v>
      </c>
      <c r="H527" s="374" t="s">
        <v>997</v>
      </c>
      <c r="I527" s="283">
        <f>(K514)</f>
        <v>7256.38</v>
      </c>
      <c r="J527" s="374" t="s">
        <v>869</v>
      </c>
      <c r="K527" s="283">
        <f>(F527*I527)</f>
        <v>108.85</v>
      </c>
      <c r="O527" s="374" t="s">
        <v>1849</v>
      </c>
      <c r="P527" s="374" t="s">
        <v>975</v>
      </c>
      <c r="R527" s="374" t="s">
        <v>975</v>
      </c>
      <c r="S527" s="744" t="s">
        <v>995</v>
      </c>
      <c r="T527" s="283" t="s">
        <v>2251</v>
      </c>
      <c r="U527" s="374" t="s">
        <v>6087</v>
      </c>
      <c r="W527" s="744"/>
      <c r="Y527" s="744" t="s">
        <v>995</v>
      </c>
      <c r="Z527" s="283" t="s">
        <v>2251</v>
      </c>
      <c r="AA527" s="374" t="s">
        <v>6088</v>
      </c>
      <c r="AC527" s="374"/>
      <c r="AE527" s="283" t="str">
        <f t="shared" si="59"/>
        <v>*</v>
      </c>
      <c r="AF527" s="744" t="s">
        <v>995</v>
      </c>
      <c r="AG527" s="283" t="s">
        <v>2251</v>
      </c>
      <c r="AH527" s="374" t="s">
        <v>6089</v>
      </c>
      <c r="AJ527" s="374"/>
    </row>
    <row r="528" spans="1:36" ht="24" customHeight="1">
      <c r="A528" s="792">
        <f t="shared" si="55"/>
        <v>352</v>
      </c>
      <c r="B528" s="374" t="s">
        <v>1120</v>
      </c>
      <c r="C528" s="283">
        <v>18.88</v>
      </c>
      <c r="D528" s="374" t="s">
        <v>868</v>
      </c>
      <c r="F528" s="283">
        <v>0.5</v>
      </c>
      <c r="G528" s="283" t="s">
        <v>769</v>
      </c>
      <c r="H528" s="374" t="s">
        <v>2009</v>
      </c>
      <c r="I528" s="283">
        <f>(C10)</f>
        <v>999</v>
      </c>
      <c r="J528" s="374" t="s">
        <v>769</v>
      </c>
      <c r="K528" s="283">
        <f>(F528*I528)</f>
        <v>499.5</v>
      </c>
      <c r="N528" s="374" t="s">
        <v>449</v>
      </c>
      <c r="O528" s="374" t="s">
        <v>450</v>
      </c>
      <c r="Q528" s="374" t="s">
        <v>449</v>
      </c>
      <c r="R528" s="283">
        <v>0</v>
      </c>
      <c r="S528" s="283"/>
      <c r="U528" s="748" t="s">
        <v>1586</v>
      </c>
      <c r="W528" s="744"/>
      <c r="AA528" s="748" t="s">
        <v>1586</v>
      </c>
      <c r="AC528" s="374"/>
      <c r="AE528" s="283">
        <f t="shared" si="59"/>
        <v>0</v>
      </c>
      <c r="AH528" s="748" t="s">
        <v>1586</v>
      </c>
      <c r="AJ528" s="374"/>
    </row>
    <row r="529" spans="1:37" ht="24" customHeight="1">
      <c r="A529" s="792">
        <f t="shared" si="55"/>
        <v>353</v>
      </c>
      <c r="B529" s="374" t="s">
        <v>240</v>
      </c>
      <c r="C529" s="283">
        <v>26</v>
      </c>
      <c r="D529" s="374" t="s">
        <v>868</v>
      </c>
      <c r="F529" s="283">
        <v>0.75</v>
      </c>
      <c r="G529" s="283" t="s">
        <v>769</v>
      </c>
      <c r="H529" s="374" t="s">
        <v>1902</v>
      </c>
      <c r="I529" s="283">
        <f>(C12)</f>
        <v>651</v>
      </c>
      <c r="J529" s="374" t="s">
        <v>769</v>
      </c>
      <c r="K529" s="283">
        <f>(F529*I529)</f>
        <v>488.25</v>
      </c>
      <c r="R529" s="748" t="s">
        <v>1586</v>
      </c>
      <c r="S529" s="746">
        <v>1.4999999999999999E-2</v>
      </c>
      <c r="T529" s="283" t="s">
        <v>869</v>
      </c>
      <c r="U529" s="374" t="s">
        <v>997</v>
      </c>
      <c r="V529" s="283">
        <f>X658</f>
        <v>7388.32</v>
      </c>
      <c r="W529" s="744" t="s">
        <v>869</v>
      </c>
      <c r="X529" s="283">
        <f>(S529*V529)</f>
        <v>110.82</v>
      </c>
      <c r="Y529" s="746">
        <v>1.4999999999999999E-2</v>
      </c>
      <c r="Z529" s="283" t="s">
        <v>869</v>
      </c>
      <c r="AA529" s="374" t="s">
        <v>997</v>
      </c>
      <c r="AB529" s="283">
        <f>AF658</f>
        <v>7932.59</v>
      </c>
      <c r="AC529" s="374" t="s">
        <v>869</v>
      </c>
      <c r="AD529" s="283">
        <f>(Y529*AB529)</f>
        <v>118.99</v>
      </c>
      <c r="AE529" s="283" t="str">
        <f t="shared" si="59"/>
        <v>CUM</v>
      </c>
      <c r="AF529" s="746">
        <v>1.4999999999999999E-2</v>
      </c>
      <c r="AG529" s="283" t="s">
        <v>869</v>
      </c>
      <c r="AH529" s="374" t="s">
        <v>997</v>
      </c>
      <c r="AI529" s="283">
        <f>Y743</f>
        <v>8077.49</v>
      </c>
      <c r="AJ529" s="374" t="s">
        <v>869</v>
      </c>
      <c r="AK529" s="283">
        <f>(AF529*AI529)</f>
        <v>121.16</v>
      </c>
    </row>
    <row r="530" spans="1:37" ht="24" customHeight="1">
      <c r="A530" s="792">
        <f t="shared" si="55"/>
        <v>354</v>
      </c>
      <c r="B530" s="374" t="s">
        <v>682</v>
      </c>
      <c r="D530" s="374" t="s">
        <v>975</v>
      </c>
      <c r="G530" s="283" t="s">
        <v>449</v>
      </c>
      <c r="H530" s="374" t="s">
        <v>450</v>
      </c>
      <c r="J530" s="374" t="s">
        <v>449</v>
      </c>
      <c r="K530" s="283">
        <v>0</v>
      </c>
      <c r="O530" s="374" t="s">
        <v>1850</v>
      </c>
      <c r="R530" s="283">
        <f>SUM(R518:R528)</f>
        <v>5393.9</v>
      </c>
      <c r="S530" s="283">
        <v>0.5</v>
      </c>
      <c r="T530" s="283" t="s">
        <v>769</v>
      </c>
      <c r="U530" s="374" t="s">
        <v>2009</v>
      </c>
      <c r="V530" s="283">
        <f>C10</f>
        <v>999</v>
      </c>
      <c r="W530" s="744" t="s">
        <v>769</v>
      </c>
      <c r="X530" s="283">
        <f>(S530*V530)</f>
        <v>499.5</v>
      </c>
      <c r="Y530" s="283">
        <v>0.5</v>
      </c>
      <c r="Z530" s="283" t="s">
        <v>769</v>
      </c>
      <c r="AA530" s="374" t="s">
        <v>2009</v>
      </c>
      <c r="AB530" s="283">
        <f>V530</f>
        <v>999</v>
      </c>
      <c r="AC530" s="374" t="s">
        <v>769</v>
      </c>
      <c r="AD530" s="283">
        <f>(Y530*AB530)</f>
        <v>499.5</v>
      </c>
      <c r="AE530" s="283" t="str">
        <f t="shared" si="59"/>
        <v>NO</v>
      </c>
      <c r="AF530" s="283">
        <v>0.5</v>
      </c>
      <c r="AG530" s="283" t="s">
        <v>769</v>
      </c>
      <c r="AH530" s="374" t="s">
        <v>2009</v>
      </c>
      <c r="AI530" s="283">
        <f>AB530</f>
        <v>999</v>
      </c>
      <c r="AJ530" s="374" t="s">
        <v>769</v>
      </c>
      <c r="AK530" s="283">
        <f>(AF530*AI530)</f>
        <v>499.5</v>
      </c>
    </row>
    <row r="531" spans="1:37" ht="24" customHeight="1">
      <c r="A531" s="792">
        <f t="shared" si="55"/>
        <v>355</v>
      </c>
      <c r="B531" s="374" t="s">
        <v>1115</v>
      </c>
      <c r="C531" s="283">
        <v>4.62</v>
      </c>
      <c r="D531" s="374" t="s">
        <v>868</v>
      </c>
      <c r="K531" s="748" t="s">
        <v>1586</v>
      </c>
      <c r="R531" s="748" t="s">
        <v>1586</v>
      </c>
      <c r="S531" s="283">
        <v>0.75</v>
      </c>
      <c r="T531" s="283" t="s">
        <v>769</v>
      </c>
      <c r="U531" s="374" t="s">
        <v>1902</v>
      </c>
      <c r="V531" s="283">
        <f>C12</f>
        <v>651</v>
      </c>
      <c r="W531" s="744" t="s">
        <v>769</v>
      </c>
      <c r="X531" s="283">
        <f>(S531*V531)</f>
        <v>488.25</v>
      </c>
      <c r="Y531" s="283">
        <v>0.75</v>
      </c>
      <c r="Z531" s="283" t="s">
        <v>769</v>
      </c>
      <c r="AA531" s="374" t="s">
        <v>1902</v>
      </c>
      <c r="AB531" s="283">
        <f>V531</f>
        <v>651</v>
      </c>
      <c r="AC531" s="374" t="s">
        <v>769</v>
      </c>
      <c r="AD531" s="283">
        <f>(Y531*AB531)</f>
        <v>488.25</v>
      </c>
      <c r="AE531" s="283" t="str">
        <f t="shared" si="59"/>
        <v>NO</v>
      </c>
      <c r="AF531" s="283">
        <v>0.75</v>
      </c>
      <c r="AG531" s="283" t="s">
        <v>769</v>
      </c>
      <c r="AH531" s="374" t="s">
        <v>1902</v>
      </c>
      <c r="AI531" s="283">
        <f>AB531</f>
        <v>651</v>
      </c>
      <c r="AJ531" s="374" t="s">
        <v>769</v>
      </c>
      <c r="AK531" s="283">
        <f>(AF531*AI531)</f>
        <v>488.25</v>
      </c>
    </row>
    <row r="532" spans="1:37" ht="24" customHeight="1">
      <c r="A532" s="792">
        <f t="shared" si="55"/>
        <v>356</v>
      </c>
      <c r="B532" s="374" t="s">
        <v>1116</v>
      </c>
      <c r="C532" s="283">
        <v>7.83</v>
      </c>
      <c r="D532" s="374" t="s">
        <v>868</v>
      </c>
      <c r="H532" s="374" t="s">
        <v>1748</v>
      </c>
      <c r="K532" s="283">
        <f>SUM(K527:K530)</f>
        <v>1096.5999999999999</v>
      </c>
      <c r="O532" s="374" t="s">
        <v>1545</v>
      </c>
      <c r="R532" s="283">
        <f>(R530/30)</f>
        <v>179.8</v>
      </c>
      <c r="S532" s="283"/>
      <c r="T532" s="283" t="s">
        <v>449</v>
      </c>
      <c r="U532" s="374" t="s">
        <v>450</v>
      </c>
      <c r="W532" s="744" t="s">
        <v>449</v>
      </c>
      <c r="X532" s="283">
        <v>0</v>
      </c>
      <c r="Z532" s="283" t="s">
        <v>449</v>
      </c>
      <c r="AA532" s="374" t="s">
        <v>450</v>
      </c>
      <c r="AB532" s="283">
        <f>V532</f>
        <v>0</v>
      </c>
      <c r="AC532" s="374" t="s">
        <v>449</v>
      </c>
      <c r="AD532" s="283">
        <v>0</v>
      </c>
      <c r="AE532" s="283" t="str">
        <f t="shared" si="59"/>
        <v>L.S</v>
      </c>
      <c r="AG532" s="283" t="s">
        <v>449</v>
      </c>
      <c r="AH532" s="374" t="s">
        <v>450</v>
      </c>
      <c r="AI532" s="283">
        <f>AB532</f>
        <v>0</v>
      </c>
      <c r="AJ532" s="374" t="s">
        <v>449</v>
      </c>
      <c r="AK532" s="283">
        <v>0</v>
      </c>
    </row>
    <row r="533" spans="1:37" ht="24" customHeight="1">
      <c r="A533" s="792">
        <f t="shared" si="55"/>
        <v>357</v>
      </c>
      <c r="B533" s="374" t="s">
        <v>1117</v>
      </c>
      <c r="C533" s="283">
        <v>11.38</v>
      </c>
      <c r="D533" s="374" t="s">
        <v>868</v>
      </c>
      <c r="K533" s="748" t="s">
        <v>1586</v>
      </c>
      <c r="R533" s="748" t="s">
        <v>1586</v>
      </c>
      <c r="S533" s="283"/>
      <c r="W533" s="744"/>
      <c r="X533" s="748" t="s">
        <v>1586</v>
      </c>
      <c r="AC533" s="374"/>
      <c r="AD533" s="748" t="s">
        <v>1586</v>
      </c>
      <c r="AE533" s="283">
        <f t="shared" si="59"/>
        <v>0</v>
      </c>
      <c r="AJ533" s="374"/>
      <c r="AK533" s="748" t="s">
        <v>1586</v>
      </c>
    </row>
    <row r="534" spans="1:37" ht="24" customHeight="1">
      <c r="A534" s="792">
        <f t="shared" si="55"/>
        <v>358</v>
      </c>
      <c r="B534" s="374" t="s">
        <v>1118</v>
      </c>
      <c r="C534" s="283">
        <v>18.75</v>
      </c>
      <c r="D534" s="374" t="s">
        <v>868</v>
      </c>
      <c r="H534" s="374" t="s">
        <v>552</v>
      </c>
      <c r="K534" s="283">
        <f>(K532/0.743)</f>
        <v>1475.91</v>
      </c>
      <c r="S534" s="283"/>
      <c r="U534" s="374" t="s">
        <v>1748</v>
      </c>
      <c r="W534" s="744"/>
      <c r="X534" s="283">
        <f>SUM(X529:X532)</f>
        <v>1098.57</v>
      </c>
      <c r="AA534" s="374" t="s">
        <v>1748</v>
      </c>
      <c r="AC534" s="374"/>
      <c r="AD534" s="283">
        <f>SUM(AD529:AD532)</f>
        <v>1106.74</v>
      </c>
      <c r="AE534" s="283">
        <f t="shared" si="59"/>
        <v>0</v>
      </c>
      <c r="AH534" s="374" t="s">
        <v>1748</v>
      </c>
      <c r="AJ534" s="374"/>
      <c r="AK534" s="283">
        <f>SUM(AK529:AK532)</f>
        <v>1108.9100000000001</v>
      </c>
    </row>
    <row r="535" spans="1:37" ht="24" customHeight="1">
      <c r="A535" s="792">
        <f t="shared" si="55"/>
        <v>359</v>
      </c>
      <c r="B535" s="374" t="s">
        <v>1120</v>
      </c>
      <c r="C535" s="283">
        <v>35.1</v>
      </c>
      <c r="D535" s="374" t="s">
        <v>868</v>
      </c>
      <c r="K535" s="748" t="s">
        <v>2055</v>
      </c>
      <c r="S535" s="283"/>
      <c r="W535" s="744"/>
      <c r="X535" s="748" t="s">
        <v>1586</v>
      </c>
      <c r="AC535" s="374"/>
      <c r="AD535" s="748" t="s">
        <v>1586</v>
      </c>
      <c r="AE535" s="283">
        <f t="shared" si="59"/>
        <v>0</v>
      </c>
      <c r="AJ535" s="374"/>
      <c r="AK535" s="748" t="s">
        <v>1586</v>
      </c>
    </row>
    <row r="536" spans="1:37" ht="24" customHeight="1">
      <c r="A536" s="792">
        <f t="shared" si="55"/>
        <v>360</v>
      </c>
      <c r="B536" s="374" t="s">
        <v>240</v>
      </c>
      <c r="C536" s="283">
        <v>45.57</v>
      </c>
      <c r="D536" s="374" t="s">
        <v>868</v>
      </c>
      <c r="H536" s="374" t="s">
        <v>386</v>
      </c>
      <c r="I536" s="283">
        <f>K534</f>
        <v>1475.91</v>
      </c>
      <c r="J536" s="374">
        <f>C22*0.015/0.743</f>
        <v>2.42</v>
      </c>
      <c r="K536" s="751">
        <f>I536+J536</f>
        <v>1478.33</v>
      </c>
      <c r="N536" s="374" t="s">
        <v>1955</v>
      </c>
      <c r="O536" s="744" t="s">
        <v>1272</v>
      </c>
      <c r="S536" s="283"/>
      <c r="U536" s="374" t="s">
        <v>552</v>
      </c>
      <c r="W536" s="744"/>
      <c r="X536" s="283">
        <f>(X534/0.743)</f>
        <v>1478.56</v>
      </c>
      <c r="AA536" s="374" t="s">
        <v>552</v>
      </c>
      <c r="AC536" s="374"/>
      <c r="AD536" s="283">
        <f>(AD534/0.743)</f>
        <v>1489.56</v>
      </c>
      <c r="AE536" s="283">
        <f t="shared" si="59"/>
        <v>0</v>
      </c>
      <c r="AH536" s="374" t="s">
        <v>552</v>
      </c>
      <c r="AJ536" s="374"/>
      <c r="AK536" s="283">
        <f>(AK534/0.743)</f>
        <v>1492.48</v>
      </c>
    </row>
    <row r="537" spans="1:37" ht="24" customHeight="1">
      <c r="A537" s="792">
        <f t="shared" si="55"/>
        <v>361</v>
      </c>
      <c r="B537" s="374" t="s">
        <v>1127</v>
      </c>
      <c r="D537" s="374" t="s">
        <v>975</v>
      </c>
      <c r="H537" s="374" t="s">
        <v>388</v>
      </c>
      <c r="I537" s="283">
        <f>K536</f>
        <v>1478.33</v>
      </c>
      <c r="J537" s="374">
        <f>C23*0.015/0.743</f>
        <v>4.7699999999999996</v>
      </c>
      <c r="K537" s="751">
        <f>I537+J537</f>
        <v>1483.1</v>
      </c>
      <c r="O537" s="748" t="s">
        <v>1586</v>
      </c>
      <c r="S537" s="283"/>
      <c r="W537" s="744"/>
      <c r="X537" s="748" t="s">
        <v>2055</v>
      </c>
      <c r="AC537" s="374"/>
      <c r="AD537" s="748" t="s">
        <v>2055</v>
      </c>
      <c r="AE537" s="283">
        <f t="shared" si="59"/>
        <v>0</v>
      </c>
      <c r="AJ537" s="374"/>
      <c r="AK537" s="748" t="s">
        <v>2055</v>
      </c>
    </row>
    <row r="538" spans="1:37" ht="24" customHeight="1">
      <c r="A538" s="792">
        <f t="shared" si="55"/>
        <v>362</v>
      </c>
      <c r="B538" s="374" t="s">
        <v>1115</v>
      </c>
      <c r="C538" s="283">
        <v>7.8</v>
      </c>
      <c r="D538" s="374" t="s">
        <v>868</v>
      </c>
      <c r="H538" s="374" t="s">
        <v>2232</v>
      </c>
      <c r="I538" s="283">
        <f>K537</f>
        <v>1483.1</v>
      </c>
      <c r="J538" s="374">
        <f>J537</f>
        <v>4.7699999999999996</v>
      </c>
      <c r="K538" s="751">
        <f>I538+J538</f>
        <v>1487.87</v>
      </c>
      <c r="M538" s="283">
        <v>30</v>
      </c>
      <c r="N538" s="374" t="s">
        <v>1771</v>
      </c>
      <c r="O538" s="374" t="s">
        <v>1664</v>
      </c>
      <c r="P538" s="283">
        <f>(C42)</f>
        <v>5</v>
      </c>
      <c r="Q538" s="374" t="s">
        <v>1771</v>
      </c>
      <c r="R538" s="283">
        <f>(M538*P538)</f>
        <v>150</v>
      </c>
      <c r="S538" s="283"/>
      <c r="U538" s="374" t="s">
        <v>386</v>
      </c>
      <c r="V538" s="283">
        <f>X536</f>
        <v>1478.56</v>
      </c>
      <c r="W538" s="744">
        <f>J536</f>
        <v>2.42</v>
      </c>
      <c r="X538" s="751">
        <f>V538+W538</f>
        <v>1480.98</v>
      </c>
      <c r="AA538" s="374" t="s">
        <v>386</v>
      </c>
      <c r="AB538" s="283">
        <f>AD536</f>
        <v>1489.56</v>
      </c>
      <c r="AC538" s="374">
        <f>W538</f>
        <v>2.42</v>
      </c>
      <c r="AD538" s="751">
        <f>AB538+AC538</f>
        <v>1491.98</v>
      </c>
      <c r="AE538" s="283">
        <f t="shared" si="59"/>
        <v>0</v>
      </c>
      <c r="AH538" s="374" t="s">
        <v>386</v>
      </c>
      <c r="AI538" s="283">
        <f>AK536</f>
        <v>1492.48</v>
      </c>
      <c r="AJ538" s="374">
        <f>AC538</f>
        <v>2.42</v>
      </c>
      <c r="AK538" s="751">
        <f>AI538+AJ538</f>
        <v>1494.9</v>
      </c>
    </row>
    <row r="539" spans="1:37" ht="24" customHeight="1">
      <c r="A539" s="792">
        <f t="shared" si="55"/>
        <v>363</v>
      </c>
      <c r="B539" s="374" t="s">
        <v>1116</v>
      </c>
      <c r="C539" s="283">
        <v>9.49</v>
      </c>
      <c r="D539" s="374" t="s">
        <v>868</v>
      </c>
      <c r="H539" s="374" t="s">
        <v>380</v>
      </c>
      <c r="I539" s="283">
        <f>K538</f>
        <v>1487.87</v>
      </c>
      <c r="J539" s="374">
        <f>J538</f>
        <v>4.7699999999999996</v>
      </c>
      <c r="K539" s="751">
        <f>I539+J539</f>
        <v>1492.64</v>
      </c>
      <c r="M539" s="374" t="s">
        <v>975</v>
      </c>
      <c r="O539" s="374" t="s">
        <v>1667</v>
      </c>
      <c r="P539" s="374" t="s">
        <v>975</v>
      </c>
      <c r="R539" s="374" t="s">
        <v>975</v>
      </c>
      <c r="S539" s="283"/>
      <c r="U539" s="374" t="s">
        <v>388</v>
      </c>
      <c r="V539" s="283">
        <f>X538</f>
        <v>1480.98</v>
      </c>
      <c r="W539" s="744">
        <f t="shared" ref="W539:W550" si="60">J539</f>
        <v>4.7699999999999996</v>
      </c>
      <c r="X539" s="751">
        <f>V539+W539</f>
        <v>1485.75</v>
      </c>
      <c r="AA539" s="374" t="s">
        <v>388</v>
      </c>
      <c r="AB539" s="283">
        <f>AD538</f>
        <v>1491.98</v>
      </c>
      <c r="AC539" s="374">
        <f t="shared" ref="AC539:AC550" si="61">W539</f>
        <v>4.7699999999999996</v>
      </c>
      <c r="AD539" s="751">
        <f>AB539+AC539</f>
        <v>1496.75</v>
      </c>
      <c r="AE539" s="283">
        <f t="shared" si="59"/>
        <v>0</v>
      </c>
      <c r="AH539" s="374" t="s">
        <v>388</v>
      </c>
      <c r="AI539" s="283">
        <f>AK538</f>
        <v>1494.9</v>
      </c>
      <c r="AJ539" s="374">
        <f t="shared" ref="AJ539:AJ549" si="62">AC539</f>
        <v>4.7699999999999996</v>
      </c>
      <c r="AK539" s="751">
        <f>AI539+AJ539</f>
        <v>1499.67</v>
      </c>
    </row>
    <row r="540" spans="1:37" ht="24" customHeight="1">
      <c r="A540" s="792">
        <f t="shared" si="55"/>
        <v>364</v>
      </c>
      <c r="B540" s="374" t="s">
        <v>1117</v>
      </c>
      <c r="C540" s="283">
        <v>13.91</v>
      </c>
      <c r="D540" s="374" t="s">
        <v>868</v>
      </c>
      <c r="H540" s="374" t="s">
        <v>388</v>
      </c>
      <c r="I540" s="283">
        <f>K539</f>
        <v>1492.64</v>
      </c>
      <c r="J540" s="374">
        <f>J539</f>
        <v>4.7699999999999996</v>
      </c>
      <c r="K540" s="751">
        <f>I540+J540</f>
        <v>1497.41</v>
      </c>
      <c r="M540" s="283">
        <v>8</v>
      </c>
      <c r="N540" s="374" t="s">
        <v>868</v>
      </c>
      <c r="O540" s="374" t="s">
        <v>2144</v>
      </c>
      <c r="P540" s="283">
        <f>(C45)</f>
        <v>11.2</v>
      </c>
      <c r="Q540" s="374" t="s">
        <v>868</v>
      </c>
      <c r="R540" s="283">
        <f>(M540*P540)</f>
        <v>89.6</v>
      </c>
      <c r="S540" s="283"/>
      <c r="U540" s="374" t="s">
        <v>2232</v>
      </c>
      <c r="V540" s="283">
        <f>X539</f>
        <v>1485.75</v>
      </c>
      <c r="W540" s="744">
        <f t="shared" si="60"/>
        <v>4.7699999999999996</v>
      </c>
      <c r="X540" s="751">
        <f>V540+W540</f>
        <v>1490.52</v>
      </c>
      <c r="AA540" s="374" t="s">
        <v>2232</v>
      </c>
      <c r="AB540" s="283">
        <f>AD539</f>
        <v>1496.75</v>
      </c>
      <c r="AC540" s="374">
        <f t="shared" si="61"/>
        <v>4.7699999999999996</v>
      </c>
      <c r="AD540" s="751">
        <f>AB540+AC540</f>
        <v>1501.52</v>
      </c>
      <c r="AE540" s="283">
        <f t="shared" si="59"/>
        <v>0</v>
      </c>
      <c r="AH540" s="374" t="s">
        <v>2232</v>
      </c>
      <c r="AI540" s="283">
        <f>AK539</f>
        <v>1499.67</v>
      </c>
      <c r="AJ540" s="374">
        <f t="shared" si="62"/>
        <v>4.7699999999999996</v>
      </c>
      <c r="AK540" s="751">
        <f>AI540+AJ540</f>
        <v>1504.44</v>
      </c>
    </row>
    <row r="541" spans="1:37" ht="24" customHeight="1">
      <c r="A541" s="792"/>
      <c r="B541" s="374"/>
      <c r="D541" s="374"/>
      <c r="H541" s="374">
        <v>5</v>
      </c>
      <c r="I541" s="283">
        <f t="shared" ref="I541:I546" si="63">K540</f>
        <v>1497.41</v>
      </c>
      <c r="J541" s="374">
        <f t="shared" ref="J541:J548" si="64">J540</f>
        <v>4.7699999999999996</v>
      </c>
      <c r="K541" s="751">
        <f t="shared" ref="K541:K546" si="65">I541+J541</f>
        <v>1502.18</v>
      </c>
      <c r="N541" s="374"/>
      <c r="O541" s="374"/>
      <c r="Q541" s="374"/>
      <c r="S541" s="283"/>
      <c r="U541" s="374" t="s">
        <v>380</v>
      </c>
      <c r="V541" s="283">
        <f>X540</f>
        <v>1490.52</v>
      </c>
      <c r="W541" s="744">
        <f t="shared" si="60"/>
        <v>4.7699999999999996</v>
      </c>
      <c r="X541" s="751">
        <f>V541+W541</f>
        <v>1495.29</v>
      </c>
      <c r="AA541" s="374" t="s">
        <v>380</v>
      </c>
      <c r="AB541" s="283">
        <f>AD540</f>
        <v>1501.52</v>
      </c>
      <c r="AC541" s="374">
        <f t="shared" si="61"/>
        <v>4.7699999999999996</v>
      </c>
      <c r="AD541" s="751">
        <f>AB541+AC541</f>
        <v>1506.29</v>
      </c>
      <c r="AH541" s="374" t="s">
        <v>380</v>
      </c>
      <c r="AI541" s="283">
        <f>AK540</f>
        <v>1504.44</v>
      </c>
      <c r="AJ541" s="374">
        <f t="shared" si="62"/>
        <v>4.7699999999999996</v>
      </c>
      <c r="AK541" s="751">
        <f>AI541+AJ541</f>
        <v>1509.21</v>
      </c>
    </row>
    <row r="542" spans="1:37" ht="24" customHeight="1">
      <c r="A542" s="792"/>
      <c r="B542" s="374"/>
      <c r="D542" s="374"/>
      <c r="H542" s="374">
        <v>6</v>
      </c>
      <c r="I542" s="283">
        <f t="shared" si="63"/>
        <v>1502.18</v>
      </c>
      <c r="J542" s="374">
        <f t="shared" si="64"/>
        <v>4.7699999999999996</v>
      </c>
      <c r="K542" s="751">
        <f t="shared" si="65"/>
        <v>1506.95</v>
      </c>
      <c r="N542" s="374"/>
      <c r="O542" s="374"/>
      <c r="Q542" s="374"/>
      <c r="S542" s="283"/>
      <c r="U542" s="374" t="s">
        <v>388</v>
      </c>
      <c r="V542" s="283">
        <f>X541</f>
        <v>1495.29</v>
      </c>
      <c r="W542" s="744">
        <f t="shared" si="60"/>
        <v>4.7699999999999996</v>
      </c>
      <c r="X542" s="751">
        <f>V542+W542</f>
        <v>1500.06</v>
      </c>
      <c r="AA542" s="374" t="s">
        <v>388</v>
      </c>
      <c r="AB542" s="283">
        <f>AD541</f>
        <v>1506.29</v>
      </c>
      <c r="AC542" s="374">
        <f t="shared" si="61"/>
        <v>4.7699999999999996</v>
      </c>
      <c r="AD542" s="751">
        <f>AB542+AC542</f>
        <v>1511.06</v>
      </c>
      <c r="AH542" s="374" t="s">
        <v>388</v>
      </c>
      <c r="AI542" s="283">
        <f>AK541</f>
        <v>1509.21</v>
      </c>
      <c r="AJ542" s="374">
        <f t="shared" si="62"/>
        <v>4.7699999999999996</v>
      </c>
      <c r="AK542" s="751">
        <f>AI542+AJ542</f>
        <v>1513.98</v>
      </c>
    </row>
    <row r="543" spans="1:37" ht="24" customHeight="1">
      <c r="A543" s="792"/>
      <c r="B543" s="374"/>
      <c r="D543" s="374"/>
      <c r="H543" s="374">
        <v>7</v>
      </c>
      <c r="I543" s="283">
        <f t="shared" si="63"/>
        <v>1506.95</v>
      </c>
      <c r="J543" s="374">
        <f t="shared" si="64"/>
        <v>4.7699999999999996</v>
      </c>
      <c r="K543" s="751">
        <f t="shared" si="65"/>
        <v>1511.72</v>
      </c>
      <c r="N543" s="374"/>
      <c r="O543" s="374"/>
      <c r="Q543" s="374"/>
      <c r="S543" s="283"/>
      <c r="U543" s="374">
        <v>5</v>
      </c>
      <c r="V543" s="283">
        <f t="shared" ref="V543:V548" si="66">X542</f>
        <v>1500.06</v>
      </c>
      <c r="W543" s="744">
        <f t="shared" si="60"/>
        <v>4.7699999999999996</v>
      </c>
      <c r="X543" s="751">
        <f t="shared" ref="X543:X548" si="67">V543+W543</f>
        <v>1504.83</v>
      </c>
      <c r="AA543" s="374">
        <v>5</v>
      </c>
      <c r="AB543" s="283">
        <f t="shared" ref="AB543:AB548" si="68">AD542</f>
        <v>1511.06</v>
      </c>
      <c r="AC543" s="374">
        <f t="shared" si="61"/>
        <v>4.7699999999999996</v>
      </c>
      <c r="AD543" s="751">
        <f t="shared" ref="AD543:AD548" si="69">AB543+AC543</f>
        <v>1515.83</v>
      </c>
      <c r="AH543" s="374">
        <v>5</v>
      </c>
      <c r="AI543" s="283">
        <f t="shared" ref="AI543:AI548" si="70">AK542</f>
        <v>1513.98</v>
      </c>
      <c r="AJ543" s="374">
        <f t="shared" si="62"/>
        <v>4.7699999999999996</v>
      </c>
      <c r="AK543" s="751">
        <f t="shared" ref="AK543:AK548" si="71">AI543+AJ543</f>
        <v>1518.75</v>
      </c>
    </row>
    <row r="544" spans="1:37" ht="24" customHeight="1">
      <c r="A544" s="792"/>
      <c r="B544" s="374"/>
      <c r="D544" s="374"/>
      <c r="H544" s="374">
        <v>8</v>
      </c>
      <c r="I544" s="283">
        <f t="shared" si="63"/>
        <v>1511.72</v>
      </c>
      <c r="J544" s="374">
        <f t="shared" si="64"/>
        <v>4.7699999999999996</v>
      </c>
      <c r="K544" s="751">
        <f t="shared" si="65"/>
        <v>1516.49</v>
      </c>
      <c r="N544" s="374"/>
      <c r="O544" s="374"/>
      <c r="Q544" s="374"/>
      <c r="S544" s="283"/>
      <c r="U544" s="374">
        <v>6</v>
      </c>
      <c r="V544" s="283">
        <f t="shared" si="66"/>
        <v>1504.83</v>
      </c>
      <c r="W544" s="744">
        <f t="shared" si="60"/>
        <v>4.7699999999999996</v>
      </c>
      <c r="X544" s="751">
        <f t="shared" si="67"/>
        <v>1509.6</v>
      </c>
      <c r="AA544" s="374">
        <v>6</v>
      </c>
      <c r="AB544" s="283">
        <f t="shared" si="68"/>
        <v>1515.83</v>
      </c>
      <c r="AC544" s="374">
        <f t="shared" si="61"/>
        <v>4.7699999999999996</v>
      </c>
      <c r="AD544" s="751">
        <f t="shared" si="69"/>
        <v>1520.6</v>
      </c>
      <c r="AH544" s="374">
        <v>6</v>
      </c>
      <c r="AI544" s="283">
        <f t="shared" si="70"/>
        <v>1518.75</v>
      </c>
      <c r="AJ544" s="374">
        <f t="shared" si="62"/>
        <v>4.7699999999999996</v>
      </c>
      <c r="AK544" s="751">
        <f t="shared" si="71"/>
        <v>1523.52</v>
      </c>
    </row>
    <row r="545" spans="1:37" ht="24" customHeight="1">
      <c r="A545" s="792"/>
      <c r="B545" s="374"/>
      <c r="D545" s="374"/>
      <c r="H545" s="374">
        <v>9</v>
      </c>
      <c r="I545" s="283">
        <f t="shared" si="63"/>
        <v>1516.49</v>
      </c>
      <c r="J545" s="374">
        <f t="shared" si="64"/>
        <v>4.7699999999999996</v>
      </c>
      <c r="K545" s="751">
        <f t="shared" si="65"/>
        <v>1521.26</v>
      </c>
      <c r="N545" s="374"/>
      <c r="O545" s="374"/>
      <c r="Q545" s="374"/>
      <c r="S545" s="283"/>
      <c r="U545" s="374">
        <v>7</v>
      </c>
      <c r="V545" s="283">
        <f t="shared" si="66"/>
        <v>1509.6</v>
      </c>
      <c r="W545" s="744">
        <f t="shared" si="60"/>
        <v>4.7699999999999996</v>
      </c>
      <c r="X545" s="751">
        <f t="shared" si="67"/>
        <v>1514.37</v>
      </c>
      <c r="AA545" s="374">
        <v>7</v>
      </c>
      <c r="AB545" s="283">
        <f t="shared" si="68"/>
        <v>1520.6</v>
      </c>
      <c r="AC545" s="374">
        <f t="shared" si="61"/>
        <v>4.7699999999999996</v>
      </c>
      <c r="AD545" s="751">
        <f t="shared" si="69"/>
        <v>1525.37</v>
      </c>
      <c r="AH545" s="374">
        <v>7</v>
      </c>
      <c r="AI545" s="283">
        <f t="shared" si="70"/>
        <v>1523.52</v>
      </c>
      <c r="AJ545" s="374">
        <f t="shared" si="62"/>
        <v>4.7699999999999996</v>
      </c>
      <c r="AK545" s="751">
        <f t="shared" si="71"/>
        <v>1528.29</v>
      </c>
    </row>
    <row r="546" spans="1:37" ht="24" customHeight="1">
      <c r="A546" s="792"/>
      <c r="B546" s="374"/>
      <c r="D546" s="374"/>
      <c r="H546" s="374">
        <v>10</v>
      </c>
      <c r="I546" s="283">
        <f t="shared" si="63"/>
        <v>1521.26</v>
      </c>
      <c r="J546" s="374">
        <f t="shared" si="64"/>
        <v>4.7699999999999996</v>
      </c>
      <c r="K546" s="751">
        <f t="shared" si="65"/>
        <v>1526.03</v>
      </c>
      <c r="N546" s="374"/>
      <c r="O546" s="374"/>
      <c r="Q546" s="374"/>
      <c r="S546" s="283"/>
      <c r="U546" s="374">
        <v>8</v>
      </c>
      <c r="V546" s="283">
        <f t="shared" si="66"/>
        <v>1514.37</v>
      </c>
      <c r="W546" s="744">
        <f t="shared" si="60"/>
        <v>4.7699999999999996</v>
      </c>
      <c r="X546" s="751">
        <f t="shared" si="67"/>
        <v>1519.14</v>
      </c>
      <c r="AA546" s="374">
        <v>8</v>
      </c>
      <c r="AB546" s="283">
        <f t="shared" si="68"/>
        <v>1525.37</v>
      </c>
      <c r="AC546" s="374">
        <f t="shared" si="61"/>
        <v>4.7699999999999996</v>
      </c>
      <c r="AD546" s="751">
        <f t="shared" si="69"/>
        <v>1530.14</v>
      </c>
      <c r="AH546" s="374">
        <v>8</v>
      </c>
      <c r="AI546" s="283">
        <f t="shared" si="70"/>
        <v>1528.29</v>
      </c>
      <c r="AJ546" s="374">
        <f t="shared" si="62"/>
        <v>4.7699999999999996</v>
      </c>
      <c r="AK546" s="751">
        <f t="shared" si="71"/>
        <v>1533.06</v>
      </c>
    </row>
    <row r="547" spans="1:37" ht="24" customHeight="1">
      <c r="A547" s="792"/>
      <c r="B547" s="374"/>
      <c r="D547" s="374"/>
      <c r="H547" s="374">
        <v>11</v>
      </c>
      <c r="I547" s="283">
        <f>K546</f>
        <v>1526.03</v>
      </c>
      <c r="J547" s="374">
        <f t="shared" si="64"/>
        <v>4.7699999999999996</v>
      </c>
      <c r="K547" s="751">
        <f>I547+J547</f>
        <v>1530.8</v>
      </c>
      <c r="N547" s="374"/>
      <c r="O547" s="374"/>
      <c r="Q547" s="374"/>
      <c r="S547" s="283"/>
      <c r="U547" s="374">
        <v>9</v>
      </c>
      <c r="V547" s="283">
        <f t="shared" si="66"/>
        <v>1519.14</v>
      </c>
      <c r="W547" s="744">
        <f t="shared" si="60"/>
        <v>4.7699999999999996</v>
      </c>
      <c r="X547" s="751">
        <f t="shared" si="67"/>
        <v>1523.91</v>
      </c>
      <c r="AA547" s="374">
        <v>9</v>
      </c>
      <c r="AB547" s="283">
        <f t="shared" si="68"/>
        <v>1530.14</v>
      </c>
      <c r="AC547" s="374">
        <f t="shared" si="61"/>
        <v>4.7699999999999996</v>
      </c>
      <c r="AD547" s="751">
        <f t="shared" si="69"/>
        <v>1534.91</v>
      </c>
      <c r="AH547" s="374">
        <v>9</v>
      </c>
      <c r="AI547" s="283">
        <f t="shared" si="70"/>
        <v>1533.06</v>
      </c>
      <c r="AJ547" s="374">
        <f t="shared" si="62"/>
        <v>4.7699999999999996</v>
      </c>
      <c r="AK547" s="751">
        <f t="shared" si="71"/>
        <v>1537.83</v>
      </c>
    </row>
    <row r="548" spans="1:37" ht="24" customHeight="1">
      <c r="A548" s="792"/>
      <c r="B548" s="374"/>
      <c r="D548" s="374"/>
      <c r="H548" s="374">
        <v>12</v>
      </c>
      <c r="I548" s="283">
        <f>K547</f>
        <v>1530.8</v>
      </c>
      <c r="J548" s="374">
        <f t="shared" si="64"/>
        <v>4.7699999999999996</v>
      </c>
      <c r="K548" s="751">
        <f>I548+J548</f>
        <v>1535.57</v>
      </c>
      <c r="N548" s="374"/>
      <c r="O548" s="374"/>
      <c r="Q548" s="374"/>
      <c r="S548" s="283"/>
      <c r="U548" s="374">
        <v>10</v>
      </c>
      <c r="V548" s="283">
        <f t="shared" si="66"/>
        <v>1523.91</v>
      </c>
      <c r="W548" s="744">
        <f t="shared" si="60"/>
        <v>4.7699999999999996</v>
      </c>
      <c r="X548" s="751">
        <f t="shared" si="67"/>
        <v>1528.68</v>
      </c>
      <c r="AA548" s="374">
        <v>10</v>
      </c>
      <c r="AB548" s="283">
        <f t="shared" si="68"/>
        <v>1534.91</v>
      </c>
      <c r="AC548" s="374">
        <f t="shared" si="61"/>
        <v>4.7699999999999996</v>
      </c>
      <c r="AD548" s="751">
        <f t="shared" si="69"/>
        <v>1539.68</v>
      </c>
      <c r="AH548" s="374">
        <v>10</v>
      </c>
      <c r="AI548" s="283">
        <f t="shared" si="70"/>
        <v>1537.83</v>
      </c>
      <c r="AJ548" s="374">
        <f t="shared" si="62"/>
        <v>4.7699999999999996</v>
      </c>
      <c r="AK548" s="751">
        <f t="shared" si="71"/>
        <v>1542.6</v>
      </c>
    </row>
    <row r="549" spans="1:37" ht="24" customHeight="1">
      <c r="A549" s="792">
        <f>(A540+1)</f>
        <v>365</v>
      </c>
      <c r="B549" s="374" t="s">
        <v>1118</v>
      </c>
      <c r="C549" s="283">
        <v>26.59</v>
      </c>
      <c r="D549" s="374" t="s">
        <v>868</v>
      </c>
      <c r="F549" s="744" t="s">
        <v>1128</v>
      </c>
      <c r="G549" s="283" t="s">
        <v>2251</v>
      </c>
      <c r="H549" s="374" t="s">
        <v>257</v>
      </c>
      <c r="M549" s="283">
        <v>8</v>
      </c>
      <c r="N549" s="374" t="s">
        <v>868</v>
      </c>
      <c r="O549" s="374" t="s">
        <v>467</v>
      </c>
      <c r="P549" s="283">
        <f>(C53)</f>
        <v>28.05</v>
      </c>
      <c r="Q549" s="374" t="s">
        <v>868</v>
      </c>
      <c r="R549" s="283">
        <f>(M549*P549)</f>
        <v>224.4</v>
      </c>
      <c r="S549" s="283"/>
      <c r="U549" s="374">
        <v>11</v>
      </c>
      <c r="V549" s="283">
        <f>X548</f>
        <v>1528.68</v>
      </c>
      <c r="W549" s="744">
        <f t="shared" si="60"/>
        <v>0</v>
      </c>
      <c r="X549" s="751">
        <f>V549+W549</f>
        <v>1528.68</v>
      </c>
      <c r="AA549" s="374">
        <v>11</v>
      </c>
      <c r="AB549" s="283">
        <f>AD548</f>
        <v>1539.68</v>
      </c>
      <c r="AC549" s="374">
        <f t="shared" si="61"/>
        <v>0</v>
      </c>
      <c r="AD549" s="751">
        <f>AB549+AC549</f>
        <v>1539.68</v>
      </c>
      <c r="AE549" s="283">
        <f t="shared" si="59"/>
        <v>0</v>
      </c>
      <c r="AH549" s="374">
        <v>11</v>
      </c>
      <c r="AI549" s="283">
        <f>AK548</f>
        <v>1542.6</v>
      </c>
      <c r="AJ549" s="374">
        <f t="shared" si="62"/>
        <v>0</v>
      </c>
      <c r="AK549" s="751">
        <f>AI549+AJ549</f>
        <v>1542.6</v>
      </c>
    </row>
    <row r="550" spans="1:37" ht="45.75" customHeight="1">
      <c r="A550" s="792">
        <f t="shared" si="55"/>
        <v>366</v>
      </c>
      <c r="B550" s="374" t="s">
        <v>1120</v>
      </c>
      <c r="C550" s="283">
        <v>39.909999999999997</v>
      </c>
      <c r="D550" s="374" t="s">
        <v>868</v>
      </c>
      <c r="H550" s="748" t="s">
        <v>1586</v>
      </c>
      <c r="M550" s="283">
        <v>3</v>
      </c>
      <c r="N550" s="374" t="s">
        <v>868</v>
      </c>
      <c r="O550" s="374" t="s">
        <v>1845</v>
      </c>
      <c r="P550" s="283">
        <f>(C41)</f>
        <v>738</v>
      </c>
      <c r="Q550" s="374" t="s">
        <v>868</v>
      </c>
      <c r="R550" s="283">
        <f>(M550*P550)</f>
        <v>2214</v>
      </c>
      <c r="S550" s="283"/>
      <c r="U550" s="374">
        <v>12</v>
      </c>
      <c r="V550" s="283">
        <f>X549</f>
        <v>1528.68</v>
      </c>
      <c r="W550" s="744">
        <f t="shared" si="60"/>
        <v>0</v>
      </c>
      <c r="X550" s="751">
        <f>V550+W550</f>
        <v>1528.68</v>
      </c>
      <c r="AA550" s="374">
        <v>12</v>
      </c>
      <c r="AB550" s="283">
        <f>AD549</f>
        <v>1539.68</v>
      </c>
      <c r="AC550" s="374">
        <f t="shared" si="61"/>
        <v>0</v>
      </c>
      <c r="AD550" s="751">
        <f>AB550+AC550</f>
        <v>1539.68</v>
      </c>
      <c r="AE550" s="283">
        <f t="shared" si="59"/>
        <v>0</v>
      </c>
      <c r="AH550" s="374">
        <v>12</v>
      </c>
      <c r="AI550" s="283">
        <f>AK549</f>
        <v>1542.6</v>
      </c>
      <c r="AJ550" s="374">
        <f>AD550</f>
        <v>1539.68</v>
      </c>
      <c r="AK550" s="751">
        <f>AI550+AJ550</f>
        <v>3082.28</v>
      </c>
    </row>
    <row r="551" spans="1:37" ht="52.5" customHeight="1">
      <c r="A551" s="792">
        <f t="shared" si="55"/>
        <v>367</v>
      </c>
      <c r="B551" s="374" t="s">
        <v>240</v>
      </c>
      <c r="C551" s="283">
        <v>66</v>
      </c>
      <c r="D551" s="374" t="s">
        <v>868</v>
      </c>
      <c r="F551" s="283">
        <v>0.03</v>
      </c>
      <c r="G551" s="283" t="s">
        <v>869</v>
      </c>
      <c r="H551" s="374" t="s">
        <v>997</v>
      </c>
      <c r="I551" s="283">
        <f>(K514)</f>
        <v>7256.38</v>
      </c>
      <c r="J551" s="374" t="s">
        <v>869</v>
      </c>
      <c r="K551" s="283">
        <f>(F551*I551)</f>
        <v>217.69</v>
      </c>
      <c r="M551" s="283">
        <v>1</v>
      </c>
      <c r="N551" s="374" t="s">
        <v>868</v>
      </c>
      <c r="O551" s="374" t="s">
        <v>1846</v>
      </c>
      <c r="P551" s="283">
        <f>(C10)</f>
        <v>999</v>
      </c>
      <c r="Q551" s="374" t="s">
        <v>868</v>
      </c>
      <c r="R551" s="283">
        <f>(M551*P551)</f>
        <v>999</v>
      </c>
      <c r="S551" s="744" t="s">
        <v>1128</v>
      </c>
      <c r="T551" s="283" t="s">
        <v>2251</v>
      </c>
      <c r="U551" s="777" t="s">
        <v>6090</v>
      </c>
      <c r="W551" s="744"/>
      <c r="Y551" s="744" t="s">
        <v>1128</v>
      </c>
      <c r="Z551" s="283" t="s">
        <v>2251</v>
      </c>
      <c r="AA551" s="1002" t="s">
        <v>6091</v>
      </c>
      <c r="AB551" s="1002"/>
      <c r="AC551" s="374"/>
      <c r="AE551" s="283" t="str">
        <f t="shared" si="59"/>
        <v>*</v>
      </c>
      <c r="AF551" s="744" t="s">
        <v>1128</v>
      </c>
      <c r="AG551" s="283" t="s">
        <v>2251</v>
      </c>
      <c r="AH551" s="1002" t="s">
        <v>6092</v>
      </c>
      <c r="AI551" s="1002"/>
      <c r="AJ551" s="374"/>
    </row>
    <row r="552" spans="1:37" ht="24" customHeight="1">
      <c r="A552" s="792">
        <f t="shared" si="55"/>
        <v>368</v>
      </c>
      <c r="B552" s="374" t="s">
        <v>1129</v>
      </c>
      <c r="D552" s="374" t="s">
        <v>975</v>
      </c>
      <c r="F552" s="283">
        <v>0.5</v>
      </c>
      <c r="G552" s="283" t="s">
        <v>769</v>
      </c>
      <c r="H552" s="374" t="s">
        <v>2009</v>
      </c>
      <c r="I552" s="283">
        <f>(C10)</f>
        <v>999</v>
      </c>
      <c r="J552" s="374" t="s">
        <v>769</v>
      </c>
      <c r="K552" s="283">
        <f>(F552*I552)</f>
        <v>499.5</v>
      </c>
      <c r="M552" s="283">
        <v>2</v>
      </c>
      <c r="N552" s="374" t="s">
        <v>868</v>
      </c>
      <c r="O552" s="374" t="s">
        <v>1902</v>
      </c>
      <c r="P552" s="283">
        <f>(C12)</f>
        <v>651</v>
      </c>
      <c r="Q552" s="374" t="s">
        <v>868</v>
      </c>
      <c r="R552" s="283">
        <f>(M552*P552)</f>
        <v>1302</v>
      </c>
      <c r="S552" s="283"/>
      <c r="U552" s="748" t="s">
        <v>1586</v>
      </c>
      <c r="W552" s="744"/>
      <c r="AA552" s="748" t="s">
        <v>1586</v>
      </c>
      <c r="AC552" s="374"/>
      <c r="AE552" s="283">
        <f t="shared" si="59"/>
        <v>0</v>
      </c>
      <c r="AH552" s="748" t="s">
        <v>1586</v>
      </c>
      <c r="AJ552" s="374"/>
    </row>
    <row r="553" spans="1:37" ht="24" customHeight="1">
      <c r="A553" s="792">
        <f t="shared" si="55"/>
        <v>369</v>
      </c>
      <c r="B553" s="374" t="s">
        <v>952</v>
      </c>
      <c r="C553" s="283">
        <v>4.75</v>
      </c>
      <c r="D553" s="374" t="s">
        <v>868</v>
      </c>
      <c r="F553" s="283">
        <v>0.75</v>
      </c>
      <c r="G553" s="283" t="s">
        <v>769</v>
      </c>
      <c r="H553" s="374" t="s">
        <v>1902</v>
      </c>
      <c r="I553" s="283">
        <f>(C12)</f>
        <v>651</v>
      </c>
      <c r="J553" s="374" t="s">
        <v>769</v>
      </c>
      <c r="K553" s="283">
        <f>(F553*I553)</f>
        <v>488.25</v>
      </c>
      <c r="M553" s="283">
        <v>1</v>
      </c>
      <c r="N553" s="374" t="s">
        <v>868</v>
      </c>
      <c r="O553" s="374" t="s">
        <v>320</v>
      </c>
      <c r="P553" s="283">
        <f>(C13)</f>
        <v>534</v>
      </c>
      <c r="Q553" s="374" t="s">
        <v>868</v>
      </c>
      <c r="R553" s="283">
        <f>(M553*P553)</f>
        <v>534</v>
      </c>
      <c r="S553" s="283">
        <v>0.03</v>
      </c>
      <c r="T553" s="283" t="s">
        <v>869</v>
      </c>
      <c r="U553" s="374" t="s">
        <v>3993</v>
      </c>
      <c r="V553" s="283">
        <f>V529</f>
        <v>7388.32</v>
      </c>
      <c r="W553" s="744" t="s">
        <v>869</v>
      </c>
      <c r="X553" s="283">
        <f>(S553*V553)</f>
        <v>221.65</v>
      </c>
      <c r="Y553" s="283">
        <v>0.03</v>
      </c>
      <c r="Z553" s="283" t="s">
        <v>869</v>
      </c>
      <c r="AA553" s="374" t="s">
        <v>3993</v>
      </c>
      <c r="AB553" s="283">
        <f>AB529</f>
        <v>7932.59</v>
      </c>
      <c r="AC553" s="374" t="s">
        <v>869</v>
      </c>
      <c r="AD553" s="283">
        <f>(Y553*AB553)</f>
        <v>237.98</v>
      </c>
      <c r="AE553" s="283" t="str">
        <f t="shared" si="59"/>
        <v>CUM</v>
      </c>
      <c r="AF553" s="783">
        <v>7.3999999999999996E-2</v>
      </c>
      <c r="AG553" s="283" t="s">
        <v>869</v>
      </c>
      <c r="AH553" s="374" t="s">
        <v>3993</v>
      </c>
      <c r="AI553" s="283">
        <f>AI529</f>
        <v>8077.49</v>
      </c>
      <c r="AJ553" s="374" t="s">
        <v>869</v>
      </c>
      <c r="AK553" s="283">
        <f>(AF553*AI553)</f>
        <v>597.73</v>
      </c>
    </row>
    <row r="554" spans="1:37" ht="24" customHeight="1">
      <c r="A554" s="792">
        <f t="shared" si="55"/>
        <v>370</v>
      </c>
      <c r="B554" s="374" t="s">
        <v>744</v>
      </c>
      <c r="C554" s="283">
        <v>6.89</v>
      </c>
      <c r="D554" s="374" t="s">
        <v>868</v>
      </c>
      <c r="E554" s="783">
        <f>0.03/40*75</f>
        <v>5.6300000000000003E-2</v>
      </c>
      <c r="G554" s="283" t="s">
        <v>449</v>
      </c>
      <c r="H554" s="374" t="s">
        <v>450</v>
      </c>
      <c r="J554" s="374" t="s">
        <v>449</v>
      </c>
      <c r="K554" s="283">
        <v>0</v>
      </c>
      <c r="N554" s="374" t="s">
        <v>449</v>
      </c>
      <c r="O554" s="374" t="s">
        <v>1847</v>
      </c>
      <c r="P554" s="374" t="s">
        <v>975</v>
      </c>
      <c r="Q554" s="374" t="s">
        <v>449</v>
      </c>
      <c r="R554" s="283">
        <f>(C57)</f>
        <v>12.1</v>
      </c>
      <c r="S554" s="283">
        <v>0.5</v>
      </c>
      <c r="T554" s="283" t="s">
        <v>769</v>
      </c>
      <c r="U554" s="374" t="s">
        <v>2009</v>
      </c>
      <c r="V554" s="283">
        <f>V530</f>
        <v>999</v>
      </c>
      <c r="W554" s="744" t="s">
        <v>769</v>
      </c>
      <c r="X554" s="283">
        <f>(S554*V554)</f>
        <v>499.5</v>
      </c>
      <c r="Y554" s="283">
        <v>0.5</v>
      </c>
      <c r="Z554" s="283" t="s">
        <v>769</v>
      </c>
      <c r="AA554" s="374" t="s">
        <v>2009</v>
      </c>
      <c r="AB554" s="283">
        <f>AB530</f>
        <v>999</v>
      </c>
      <c r="AC554" s="374" t="s">
        <v>769</v>
      </c>
      <c r="AD554" s="283">
        <f>(Y554*AB554)</f>
        <v>499.5</v>
      </c>
      <c r="AE554" s="283" t="str">
        <f t="shared" si="59"/>
        <v>NO</v>
      </c>
      <c r="AF554" s="283">
        <v>0.5</v>
      </c>
      <c r="AG554" s="283" t="s">
        <v>769</v>
      </c>
      <c r="AH554" s="374" t="s">
        <v>2009</v>
      </c>
      <c r="AI554" s="283">
        <f>AI530</f>
        <v>999</v>
      </c>
      <c r="AJ554" s="374" t="s">
        <v>769</v>
      </c>
      <c r="AK554" s="283">
        <f>(AF554*AI554)</f>
        <v>499.5</v>
      </c>
    </row>
    <row r="555" spans="1:37" ht="24" customHeight="1">
      <c r="A555" s="792">
        <f t="shared" si="55"/>
        <v>371</v>
      </c>
      <c r="B555" s="374" t="s">
        <v>1663</v>
      </c>
      <c r="C555" s="283">
        <v>6.18</v>
      </c>
      <c r="D555" s="374" t="s">
        <v>868</v>
      </c>
      <c r="K555" s="748" t="s">
        <v>1586</v>
      </c>
      <c r="O555" s="374" t="s">
        <v>1849</v>
      </c>
      <c r="P555" s="374" t="s">
        <v>975</v>
      </c>
      <c r="R555" s="374" t="s">
        <v>975</v>
      </c>
      <c r="S555" s="283">
        <v>0.75</v>
      </c>
      <c r="T555" s="283" t="s">
        <v>769</v>
      </c>
      <c r="U555" s="374" t="s">
        <v>1902</v>
      </c>
      <c r="V555" s="283">
        <f>V531</f>
        <v>651</v>
      </c>
      <c r="W555" s="744" t="s">
        <v>769</v>
      </c>
      <c r="X555" s="283">
        <f>(S555*V555)</f>
        <v>488.25</v>
      </c>
      <c r="Y555" s="283">
        <v>0.75</v>
      </c>
      <c r="Z555" s="283" t="s">
        <v>769</v>
      </c>
      <c r="AA555" s="374" t="s">
        <v>1902</v>
      </c>
      <c r="AB555" s="283">
        <f>AB531</f>
        <v>651</v>
      </c>
      <c r="AC555" s="374" t="s">
        <v>769</v>
      </c>
      <c r="AD555" s="283">
        <f>(Y555*AB555)</f>
        <v>488.25</v>
      </c>
      <c r="AE555" s="283" t="str">
        <f t="shared" si="59"/>
        <v>NO</v>
      </c>
      <c r="AF555" s="283">
        <v>0.75</v>
      </c>
      <c r="AG555" s="283" t="s">
        <v>769</v>
      </c>
      <c r="AH555" s="374" t="s">
        <v>1902</v>
      </c>
      <c r="AI555" s="283">
        <f>AI531</f>
        <v>651</v>
      </c>
      <c r="AJ555" s="374" t="s">
        <v>769</v>
      </c>
      <c r="AK555" s="283">
        <f>(AF555*AI555)</f>
        <v>488.25</v>
      </c>
    </row>
    <row r="556" spans="1:37" ht="24" customHeight="1">
      <c r="A556" s="792">
        <f t="shared" si="55"/>
        <v>372</v>
      </c>
      <c r="B556" s="374" t="s">
        <v>1130</v>
      </c>
      <c r="C556" s="283">
        <v>13.29</v>
      </c>
      <c r="D556" s="374" t="s">
        <v>868</v>
      </c>
      <c r="H556" s="374" t="s">
        <v>1748</v>
      </c>
      <c r="K556" s="283">
        <f>SUM(K551:K554)</f>
        <v>1205.44</v>
      </c>
      <c r="N556" s="374" t="s">
        <v>449</v>
      </c>
      <c r="O556" s="374" t="s">
        <v>450</v>
      </c>
      <c r="Q556" s="374" t="s">
        <v>449</v>
      </c>
      <c r="R556" s="283">
        <v>0</v>
      </c>
      <c r="S556" s="283"/>
      <c r="T556" s="283" t="s">
        <v>449</v>
      </c>
      <c r="U556" s="374" t="s">
        <v>450</v>
      </c>
      <c r="V556" s="283">
        <f>V532</f>
        <v>0</v>
      </c>
      <c r="W556" s="744" t="s">
        <v>449</v>
      </c>
      <c r="X556" s="283">
        <v>0</v>
      </c>
      <c r="Z556" s="283" t="s">
        <v>449</v>
      </c>
      <c r="AA556" s="374" t="s">
        <v>450</v>
      </c>
      <c r="AB556" s="283">
        <f>AB532</f>
        <v>0</v>
      </c>
      <c r="AC556" s="374" t="s">
        <v>449</v>
      </c>
      <c r="AD556" s="283">
        <v>0</v>
      </c>
      <c r="AE556" s="283" t="str">
        <f t="shared" si="59"/>
        <v>L.S</v>
      </c>
      <c r="AG556" s="283" t="s">
        <v>449</v>
      </c>
      <c r="AH556" s="374" t="s">
        <v>450</v>
      </c>
      <c r="AI556" s="283">
        <f>AI532</f>
        <v>0</v>
      </c>
      <c r="AJ556" s="374" t="s">
        <v>449</v>
      </c>
      <c r="AK556" s="283">
        <v>0</v>
      </c>
    </row>
    <row r="557" spans="1:37" ht="24" customHeight="1">
      <c r="A557" s="792">
        <f t="shared" si="55"/>
        <v>373</v>
      </c>
      <c r="B557" s="374" t="s">
        <v>1131</v>
      </c>
      <c r="C557" s="283">
        <v>14.11</v>
      </c>
      <c r="D557" s="374" t="s">
        <v>868</v>
      </c>
      <c r="K557" s="748" t="s">
        <v>1586</v>
      </c>
      <c r="R557" s="748" t="s">
        <v>1586</v>
      </c>
      <c r="S557" s="283"/>
      <c r="W557" s="744"/>
      <c r="X557" s="748" t="s">
        <v>1586</v>
      </c>
      <c r="AC557" s="374"/>
      <c r="AD557" s="748" t="s">
        <v>1586</v>
      </c>
      <c r="AE557" s="283">
        <f t="shared" si="59"/>
        <v>0</v>
      </c>
      <c r="AJ557" s="374"/>
      <c r="AK557" s="748" t="s">
        <v>1586</v>
      </c>
    </row>
    <row r="558" spans="1:37" ht="24" customHeight="1">
      <c r="A558" s="792">
        <f t="shared" si="55"/>
        <v>374</v>
      </c>
      <c r="B558" s="374" t="s">
        <v>1132</v>
      </c>
      <c r="C558" s="283">
        <v>14.69</v>
      </c>
      <c r="D558" s="374" t="s">
        <v>868</v>
      </c>
      <c r="H558" s="374" t="s">
        <v>552</v>
      </c>
      <c r="K558" s="283">
        <f>(K556/0.743)</f>
        <v>1622.4</v>
      </c>
      <c r="O558" s="374" t="s">
        <v>1850</v>
      </c>
      <c r="R558" s="283">
        <f>SUM(R538:R556)</f>
        <v>5525.1</v>
      </c>
      <c r="S558" s="283"/>
      <c r="U558" s="374" t="s">
        <v>1748</v>
      </c>
      <c r="W558" s="744"/>
      <c r="X558" s="283">
        <f>SUM(X553:X556)</f>
        <v>1209.4000000000001</v>
      </c>
      <c r="AA558" s="374" t="s">
        <v>1748</v>
      </c>
      <c r="AC558" s="374"/>
      <c r="AD558" s="283">
        <f>SUM(AD553:AD556)</f>
        <v>1225.73</v>
      </c>
      <c r="AE558" s="283">
        <f t="shared" si="59"/>
        <v>0</v>
      </c>
      <c r="AH558" s="374" t="s">
        <v>1748</v>
      </c>
      <c r="AJ558" s="374"/>
      <c r="AK558" s="283">
        <f>SUM(AK553:AK556)</f>
        <v>1585.48</v>
      </c>
    </row>
    <row r="559" spans="1:37" ht="24" customHeight="1">
      <c r="A559" s="792">
        <f t="shared" si="55"/>
        <v>375</v>
      </c>
      <c r="B559" s="374" t="s">
        <v>1864</v>
      </c>
      <c r="D559" s="374" t="s">
        <v>975</v>
      </c>
      <c r="K559" s="748" t="s">
        <v>2055</v>
      </c>
      <c r="R559" s="748" t="s">
        <v>1586</v>
      </c>
      <c r="S559" s="283"/>
      <c r="W559" s="744"/>
      <c r="X559" s="748" t="s">
        <v>1586</v>
      </c>
      <c r="AC559" s="374"/>
      <c r="AD559" s="748" t="s">
        <v>1586</v>
      </c>
      <c r="AE559" s="283">
        <f t="shared" si="59"/>
        <v>0</v>
      </c>
      <c r="AJ559" s="374"/>
      <c r="AK559" s="748" t="s">
        <v>1586</v>
      </c>
    </row>
    <row r="560" spans="1:37" ht="24" customHeight="1">
      <c r="A560" s="792">
        <f t="shared" si="55"/>
        <v>376</v>
      </c>
      <c r="B560" s="374" t="s">
        <v>952</v>
      </c>
      <c r="C560" s="283">
        <v>10.3</v>
      </c>
      <c r="D560" s="374" t="s">
        <v>868</v>
      </c>
      <c r="H560" s="374" t="s">
        <v>386</v>
      </c>
      <c r="I560" s="283">
        <f>K558</f>
        <v>1622.4</v>
      </c>
      <c r="J560" s="374">
        <f>C22*0.03/0.743</f>
        <v>4.84</v>
      </c>
      <c r="K560" s="751">
        <f>I560+J560</f>
        <v>1627.24</v>
      </c>
      <c r="M560" s="283">
        <f>0.47*38.5</f>
        <v>18.100000000000001</v>
      </c>
      <c r="O560" s="374" t="s">
        <v>1545</v>
      </c>
      <c r="R560" s="283">
        <f>(R558/30)</f>
        <v>184.17</v>
      </c>
      <c r="S560" s="283"/>
      <c r="U560" s="374" t="s">
        <v>3994</v>
      </c>
      <c r="W560" s="744"/>
      <c r="X560" s="751">
        <f>(X558/0.743)</f>
        <v>1627.73</v>
      </c>
      <c r="AA560" s="374" t="s">
        <v>3994</v>
      </c>
      <c r="AC560" s="374"/>
      <c r="AD560" s="751">
        <f>(AD558/0.743)</f>
        <v>1649.7</v>
      </c>
      <c r="AE560" s="283">
        <f t="shared" si="59"/>
        <v>0</v>
      </c>
      <c r="AH560" s="374" t="s">
        <v>3994</v>
      </c>
      <c r="AJ560" s="374"/>
      <c r="AK560" s="751">
        <f>(AK558/0.743)</f>
        <v>2133.89</v>
      </c>
    </row>
    <row r="561" spans="1:37" ht="24" customHeight="1">
      <c r="A561" s="792">
        <f t="shared" si="55"/>
        <v>377</v>
      </c>
      <c r="B561" s="374" t="s">
        <v>744</v>
      </c>
      <c r="C561" s="283">
        <v>19.05</v>
      </c>
      <c r="D561" s="374" t="s">
        <v>868</v>
      </c>
      <c r="H561" s="374" t="s">
        <v>388</v>
      </c>
      <c r="I561" s="283">
        <f>K560</f>
        <v>1627.24</v>
      </c>
      <c r="J561" s="374">
        <f>C23*0.03/0.743</f>
        <v>9.5299999999999994</v>
      </c>
      <c r="K561" s="751">
        <f>I561+J561</f>
        <v>1636.77</v>
      </c>
      <c r="M561" s="283">
        <f>0.24*546</f>
        <v>131.04</v>
      </c>
      <c r="R561" s="748" t="s">
        <v>1586</v>
      </c>
      <c r="S561" s="283"/>
      <c r="W561" s="744"/>
      <c r="X561" s="748" t="s">
        <v>2055</v>
      </c>
      <c r="AC561" s="374"/>
      <c r="AD561" s="748" t="s">
        <v>2055</v>
      </c>
      <c r="AE561" s="283">
        <f t="shared" si="59"/>
        <v>0</v>
      </c>
      <c r="AJ561" s="374"/>
      <c r="AK561" s="748" t="s">
        <v>2055</v>
      </c>
    </row>
    <row r="562" spans="1:37" ht="24" customHeight="1">
      <c r="A562" s="792">
        <f t="shared" si="55"/>
        <v>378</v>
      </c>
      <c r="B562" s="374" t="s">
        <v>1663</v>
      </c>
      <c r="C562" s="283">
        <v>15.34</v>
      </c>
      <c r="D562" s="374" t="s">
        <v>868</v>
      </c>
      <c r="H562" s="374" t="s">
        <v>2232</v>
      </c>
      <c r="I562" s="283">
        <f>K561</f>
        <v>1636.77</v>
      </c>
      <c r="J562" s="374">
        <f>J561</f>
        <v>9.5299999999999994</v>
      </c>
      <c r="K562" s="751">
        <f>I562+J562</f>
        <v>1646.3</v>
      </c>
      <c r="M562" s="283">
        <f>0.24*143.6</f>
        <v>34.46</v>
      </c>
      <c r="N562" s="374" t="s">
        <v>2251</v>
      </c>
      <c r="O562" s="374" t="s">
        <v>2047</v>
      </c>
      <c r="S562" s="283"/>
      <c r="U562" s="374" t="s">
        <v>386</v>
      </c>
      <c r="V562" s="283">
        <f>X560</f>
        <v>1627.73</v>
      </c>
      <c r="W562" s="744">
        <f>J560</f>
        <v>4.84</v>
      </c>
      <c r="X562" s="751">
        <f>V562+W562</f>
        <v>1632.57</v>
      </c>
      <c r="AA562" s="374" t="s">
        <v>386</v>
      </c>
      <c r="AB562" s="283">
        <f>AD560</f>
        <v>1649.7</v>
      </c>
      <c r="AC562" s="374">
        <f t="shared" ref="AC562:AC567" si="72">W562</f>
        <v>4.84</v>
      </c>
      <c r="AD562" s="751">
        <f t="shared" ref="AD562:AD567" si="73">AB562+AC562</f>
        <v>1654.54</v>
      </c>
      <c r="AE562" s="283">
        <f t="shared" si="59"/>
        <v>0</v>
      </c>
      <c r="AH562" s="374" t="s">
        <v>386</v>
      </c>
      <c r="AI562" s="283">
        <f>AK560</f>
        <v>2133.89</v>
      </c>
      <c r="AJ562" s="374">
        <f t="shared" ref="AJ562:AJ567" si="74">AC562</f>
        <v>4.84</v>
      </c>
      <c r="AK562" s="751">
        <f t="shared" ref="AK562:AK567" si="75">AI562+AJ562</f>
        <v>2138.73</v>
      </c>
    </row>
    <row r="563" spans="1:37" ht="24" customHeight="1">
      <c r="A563" s="792">
        <f t="shared" si="55"/>
        <v>379</v>
      </c>
      <c r="B563" s="374" t="s">
        <v>1865</v>
      </c>
      <c r="C563" s="283">
        <v>29.41</v>
      </c>
      <c r="D563" s="374" t="s">
        <v>868</v>
      </c>
      <c r="H563" s="374" t="s">
        <v>380</v>
      </c>
      <c r="I563" s="283">
        <f>K562</f>
        <v>1646.3</v>
      </c>
      <c r="J563" s="374">
        <f>J562</f>
        <v>9.5299999999999994</v>
      </c>
      <c r="K563" s="751">
        <f>I563+J563</f>
        <v>1655.83</v>
      </c>
      <c r="M563" s="283">
        <f>0.79*328.9</f>
        <v>259.83</v>
      </c>
      <c r="O563" s="374" t="s">
        <v>1866</v>
      </c>
      <c r="S563" s="283"/>
      <c r="U563" s="374" t="s">
        <v>388</v>
      </c>
      <c r="V563" s="283">
        <f>X562</f>
        <v>1632.57</v>
      </c>
      <c r="W563" s="744">
        <f>J561</f>
        <v>9.5299999999999994</v>
      </c>
      <c r="X563" s="751">
        <f>V563+W563</f>
        <v>1642.1</v>
      </c>
      <c r="AA563" s="374" t="s">
        <v>388</v>
      </c>
      <c r="AB563" s="283">
        <f>AD562</f>
        <v>1654.54</v>
      </c>
      <c r="AC563" s="374">
        <f t="shared" si="72"/>
        <v>9.5299999999999994</v>
      </c>
      <c r="AD563" s="751">
        <f t="shared" si="73"/>
        <v>1664.07</v>
      </c>
      <c r="AE563" s="283">
        <f t="shared" si="59"/>
        <v>0</v>
      </c>
      <c r="AH563" s="374" t="s">
        <v>388</v>
      </c>
      <c r="AI563" s="283">
        <f>AK562</f>
        <v>2138.73</v>
      </c>
      <c r="AJ563" s="374">
        <f t="shared" si="74"/>
        <v>9.5299999999999994</v>
      </c>
      <c r="AK563" s="751">
        <f t="shared" si="75"/>
        <v>2148.2600000000002</v>
      </c>
    </row>
    <row r="564" spans="1:37" ht="24" customHeight="1">
      <c r="F564" s="374" t="s">
        <v>975</v>
      </c>
      <c r="H564" s="374" t="s">
        <v>388</v>
      </c>
      <c r="I564" s="283">
        <f>K563</f>
        <v>1655.83</v>
      </c>
      <c r="J564" s="374">
        <f>J563</f>
        <v>9.5299999999999994</v>
      </c>
      <c r="K564" s="751">
        <f>I564+J564</f>
        <v>1665.36</v>
      </c>
      <c r="M564" s="283">
        <f>SUM(M560:M563)</f>
        <v>443.43</v>
      </c>
      <c r="S564" s="283"/>
      <c r="U564" s="374" t="s">
        <v>2232</v>
      </c>
      <c r="V564" s="283">
        <f>X563</f>
        <v>1642.1</v>
      </c>
      <c r="W564" s="744">
        <f>J562</f>
        <v>9.5299999999999994</v>
      </c>
      <c r="X564" s="751">
        <f>V564+W564</f>
        <v>1651.63</v>
      </c>
      <c r="AA564" s="374" t="s">
        <v>2232</v>
      </c>
      <c r="AB564" s="283">
        <f>AD563</f>
        <v>1664.07</v>
      </c>
      <c r="AC564" s="374">
        <f t="shared" si="72"/>
        <v>9.5299999999999994</v>
      </c>
      <c r="AD564" s="751">
        <f t="shared" si="73"/>
        <v>1673.6</v>
      </c>
      <c r="AE564" s="283">
        <f t="shared" si="59"/>
        <v>0</v>
      </c>
      <c r="AH564" s="374" t="s">
        <v>2232</v>
      </c>
      <c r="AI564" s="283">
        <f>AK563</f>
        <v>2148.2600000000002</v>
      </c>
      <c r="AJ564" s="374">
        <f t="shared" si="74"/>
        <v>9.5299999999999994</v>
      </c>
      <c r="AK564" s="751">
        <f t="shared" si="75"/>
        <v>2157.79</v>
      </c>
    </row>
    <row r="565" spans="1:37" ht="15.75">
      <c r="A565" s="792">
        <f>(A563+1)</f>
        <v>380</v>
      </c>
      <c r="B565" s="374" t="s">
        <v>1131</v>
      </c>
      <c r="C565" s="283">
        <v>38.35</v>
      </c>
      <c r="D565" s="374" t="s">
        <v>868</v>
      </c>
      <c r="H565" s="374">
        <v>5</v>
      </c>
      <c r="I565" s="283">
        <f t="shared" ref="I565:I570" si="76">K564</f>
        <v>1665.36</v>
      </c>
      <c r="J565" s="374">
        <f t="shared" ref="J565:J572" si="77">J564</f>
        <v>9.5299999999999994</v>
      </c>
      <c r="K565" s="751">
        <f t="shared" ref="K565:K570" si="78">I565+J565</f>
        <v>1674.89</v>
      </c>
      <c r="O565" s="374" t="s">
        <v>153</v>
      </c>
      <c r="S565" s="283"/>
      <c r="U565" s="374" t="s">
        <v>380</v>
      </c>
      <c r="V565" s="283">
        <f>X564</f>
        <v>1651.63</v>
      </c>
      <c r="W565" s="744">
        <f>J563</f>
        <v>9.5299999999999994</v>
      </c>
      <c r="X565" s="751">
        <f>V565+W565</f>
        <v>1661.16</v>
      </c>
      <c r="AA565" s="374" t="s">
        <v>380</v>
      </c>
      <c r="AB565" s="283">
        <f>AD564</f>
        <v>1673.6</v>
      </c>
      <c r="AC565" s="374">
        <f t="shared" si="72"/>
        <v>9.5299999999999994</v>
      </c>
      <c r="AD565" s="751">
        <f t="shared" si="73"/>
        <v>1683.13</v>
      </c>
      <c r="AE565" s="283">
        <f t="shared" si="59"/>
        <v>0</v>
      </c>
      <c r="AH565" s="374" t="s">
        <v>380</v>
      </c>
      <c r="AI565" s="283">
        <f>AK564</f>
        <v>2157.79</v>
      </c>
      <c r="AJ565" s="374">
        <f t="shared" si="74"/>
        <v>9.5299999999999994</v>
      </c>
      <c r="AK565" s="751">
        <f t="shared" si="75"/>
        <v>2167.3200000000002</v>
      </c>
    </row>
    <row r="566" spans="1:37" ht="15.75">
      <c r="A566" s="792"/>
      <c r="B566" s="374"/>
      <c r="D566" s="374"/>
      <c r="H566" s="374">
        <v>6</v>
      </c>
      <c r="I566" s="283">
        <f t="shared" si="76"/>
        <v>1674.89</v>
      </c>
      <c r="J566" s="374">
        <f t="shared" si="77"/>
        <v>9.5299999999999994</v>
      </c>
      <c r="K566" s="751">
        <f t="shared" si="78"/>
        <v>1684.42</v>
      </c>
      <c r="O566" s="374"/>
      <c r="S566" s="374" t="s">
        <v>975</v>
      </c>
      <c r="U566" s="374" t="s">
        <v>4010</v>
      </c>
      <c r="V566" s="283">
        <f>X565</f>
        <v>1661.16</v>
      </c>
      <c r="W566" s="744">
        <f>J564</f>
        <v>9.5299999999999994</v>
      </c>
      <c r="X566" s="751">
        <f>V566+W566</f>
        <v>1670.69</v>
      </c>
      <c r="AA566" s="374" t="s">
        <v>388</v>
      </c>
      <c r="AB566" s="283">
        <f>AD565</f>
        <v>1683.13</v>
      </c>
      <c r="AC566" s="374">
        <f t="shared" si="72"/>
        <v>9.5299999999999994</v>
      </c>
      <c r="AD566" s="751">
        <f t="shared" si="73"/>
        <v>1692.66</v>
      </c>
      <c r="AH566" s="374" t="s">
        <v>388</v>
      </c>
      <c r="AI566" s="283">
        <f>AK565</f>
        <v>2167.3200000000002</v>
      </c>
      <c r="AJ566" s="374">
        <f t="shared" si="74"/>
        <v>9.5299999999999994</v>
      </c>
      <c r="AK566" s="751">
        <f t="shared" si="75"/>
        <v>2176.85</v>
      </c>
    </row>
    <row r="567" spans="1:37" ht="15.75">
      <c r="A567" s="792"/>
      <c r="B567" s="374"/>
      <c r="D567" s="374"/>
      <c r="H567" s="374">
        <v>7</v>
      </c>
      <c r="I567" s="283">
        <f t="shared" si="76"/>
        <v>1684.42</v>
      </c>
      <c r="J567" s="374">
        <f t="shared" si="77"/>
        <v>9.5299999999999994</v>
      </c>
      <c r="K567" s="751">
        <f t="shared" si="78"/>
        <v>1693.95</v>
      </c>
      <c r="O567" s="374"/>
      <c r="W567" s="744"/>
      <c r="AA567" s="374" t="s">
        <v>2232</v>
      </c>
      <c r="AB567" s="283">
        <f>AD566</f>
        <v>1692.66</v>
      </c>
      <c r="AC567" s="374">
        <f t="shared" si="72"/>
        <v>0</v>
      </c>
      <c r="AD567" s="751">
        <f t="shared" si="73"/>
        <v>1692.66</v>
      </c>
      <c r="AH567" s="374" t="s">
        <v>2232</v>
      </c>
      <c r="AI567" s="283">
        <f>AK566</f>
        <v>2176.85</v>
      </c>
      <c r="AJ567" s="374">
        <f t="shared" si="74"/>
        <v>0</v>
      </c>
      <c r="AK567" s="751">
        <f t="shared" si="75"/>
        <v>2176.85</v>
      </c>
    </row>
    <row r="568" spans="1:37" ht="15.75">
      <c r="A568" s="792"/>
      <c r="B568" s="374"/>
      <c r="D568" s="374"/>
      <c r="H568" s="374">
        <v>8</v>
      </c>
      <c r="I568" s="283">
        <f t="shared" si="76"/>
        <v>1693.95</v>
      </c>
      <c r="J568" s="374">
        <f t="shared" si="77"/>
        <v>9.5299999999999994</v>
      </c>
      <c r="K568" s="751">
        <f t="shared" si="78"/>
        <v>1703.48</v>
      </c>
      <c r="O568" s="374"/>
      <c r="W568" s="744"/>
      <c r="AG568" s="374"/>
    </row>
    <row r="569" spans="1:37" ht="15.75">
      <c r="A569" s="792"/>
      <c r="B569" s="374"/>
      <c r="D569" s="374"/>
      <c r="H569" s="374">
        <v>9</v>
      </c>
      <c r="I569" s="283">
        <f t="shared" si="76"/>
        <v>1703.48</v>
      </c>
      <c r="J569" s="374">
        <f t="shared" si="77"/>
        <v>9.5299999999999994</v>
      </c>
      <c r="K569" s="751">
        <f t="shared" si="78"/>
        <v>1713.01</v>
      </c>
      <c r="O569" s="374"/>
      <c r="W569" s="744"/>
      <c r="AG569" s="374"/>
    </row>
    <row r="570" spans="1:37" ht="15.75">
      <c r="A570" s="792"/>
      <c r="B570" s="374"/>
      <c r="D570" s="374"/>
      <c r="H570" s="374">
        <v>10</v>
      </c>
      <c r="I570" s="283">
        <f t="shared" si="76"/>
        <v>1713.01</v>
      </c>
      <c r="J570" s="374">
        <f t="shared" si="77"/>
        <v>9.5299999999999994</v>
      </c>
      <c r="K570" s="751">
        <f t="shared" si="78"/>
        <v>1722.54</v>
      </c>
      <c r="O570" s="374"/>
      <c r="W570" s="744"/>
      <c r="AG570" s="374"/>
    </row>
    <row r="571" spans="1:37" ht="15.75">
      <c r="A571" s="792"/>
      <c r="B571" s="374"/>
      <c r="D571" s="374"/>
      <c r="H571" s="374">
        <v>11</v>
      </c>
      <c r="I571" s="283">
        <f>K570</f>
        <v>1722.54</v>
      </c>
      <c r="J571" s="374">
        <f t="shared" si="77"/>
        <v>9.5299999999999994</v>
      </c>
      <c r="K571" s="751">
        <f>I571+J571</f>
        <v>1732.07</v>
      </c>
      <c r="O571" s="374"/>
      <c r="W571" s="744"/>
      <c r="AG571" s="374"/>
    </row>
    <row r="572" spans="1:37" ht="15.75">
      <c r="A572" s="792"/>
      <c r="B572" s="374"/>
      <c r="D572" s="374"/>
      <c r="H572" s="374">
        <v>12</v>
      </c>
      <c r="I572" s="283">
        <f>K571</f>
        <v>1732.07</v>
      </c>
      <c r="J572" s="374">
        <f t="shared" si="77"/>
        <v>9.5299999999999994</v>
      </c>
      <c r="K572" s="751">
        <f>I572+J572</f>
        <v>1741.6</v>
      </c>
      <c r="O572" s="374"/>
      <c r="W572" s="744"/>
      <c r="AG572" s="374"/>
    </row>
    <row r="573" spans="1:37" ht="15.75">
      <c r="A573" s="792">
        <f>(A565+1)</f>
        <v>381</v>
      </c>
      <c r="B573" s="374" t="s">
        <v>1132</v>
      </c>
      <c r="C573" s="283">
        <v>37.96</v>
      </c>
      <c r="D573" s="374" t="s">
        <v>868</v>
      </c>
      <c r="F573" s="765"/>
      <c r="G573" s="283" t="s">
        <v>975</v>
      </c>
      <c r="H573" s="374" t="s">
        <v>133</v>
      </c>
      <c r="O573" s="748" t="s">
        <v>1586</v>
      </c>
      <c r="S573" s="771"/>
      <c r="T573" s="283" t="s">
        <v>975</v>
      </c>
      <c r="U573" s="374" t="s">
        <v>133</v>
      </c>
      <c r="W573" s="744"/>
      <c r="AA573" s="374" t="s">
        <v>380</v>
      </c>
      <c r="AB573" s="283">
        <f>AD572</f>
        <v>0</v>
      </c>
      <c r="AC573" s="374">
        <f>W573</f>
        <v>0</v>
      </c>
      <c r="AD573" s="751">
        <f>AB573+AC573</f>
        <v>0</v>
      </c>
      <c r="AE573" s="283" t="str">
        <f t="shared" si="59"/>
        <v>|</v>
      </c>
      <c r="AG573" s="374" t="s">
        <v>2259</v>
      </c>
    </row>
    <row r="574" spans="1:37" ht="24" customHeight="1">
      <c r="A574" s="792">
        <f t="shared" ref="A574:A588" si="79">(A573+1)</f>
        <v>382</v>
      </c>
      <c r="B574" s="374" t="s">
        <v>134</v>
      </c>
      <c r="D574" s="374" t="s">
        <v>975</v>
      </c>
      <c r="H574" s="374" t="s">
        <v>1265</v>
      </c>
      <c r="U574" s="374" t="s">
        <v>1265</v>
      </c>
      <c r="W574" s="744"/>
      <c r="AE574" s="283" t="str">
        <f t="shared" si="59"/>
        <v>|</v>
      </c>
      <c r="AG574" s="374" t="s">
        <v>2259</v>
      </c>
    </row>
    <row r="575" spans="1:37" ht="24" customHeight="1">
      <c r="A575" s="792">
        <f t="shared" si="79"/>
        <v>383</v>
      </c>
      <c r="B575" s="374" t="s">
        <v>952</v>
      </c>
      <c r="C575" s="283">
        <v>6.68</v>
      </c>
      <c r="D575" s="374" t="s">
        <v>868</v>
      </c>
      <c r="H575" s="374" t="s">
        <v>1266</v>
      </c>
      <c r="N575" s="374" t="s">
        <v>154</v>
      </c>
      <c r="O575" s="374" t="s">
        <v>1023</v>
      </c>
      <c r="U575" s="374" t="s">
        <v>1266</v>
      </c>
      <c r="W575" s="744"/>
      <c r="AE575" s="283" t="str">
        <f t="shared" si="59"/>
        <v>|</v>
      </c>
      <c r="AG575" s="374" t="s">
        <v>2259</v>
      </c>
    </row>
    <row r="576" spans="1:37" ht="24" customHeight="1">
      <c r="A576" s="792">
        <f t="shared" si="79"/>
        <v>384</v>
      </c>
      <c r="B576" s="374" t="s">
        <v>744</v>
      </c>
      <c r="C576" s="283">
        <v>9.4499999999999993</v>
      </c>
      <c r="D576" s="374" t="s">
        <v>868</v>
      </c>
      <c r="H576" s="374" t="s">
        <v>1024</v>
      </c>
      <c r="O576" s="748" t="s">
        <v>1586</v>
      </c>
      <c r="U576" s="374" t="s">
        <v>1024</v>
      </c>
      <c r="W576" s="744"/>
      <c r="AE576" s="283" t="str">
        <f t="shared" si="59"/>
        <v>|</v>
      </c>
      <c r="AG576" s="374" t="s">
        <v>2259</v>
      </c>
    </row>
    <row r="577" spans="1:33" ht="24" customHeight="1">
      <c r="A577" s="792">
        <f t="shared" si="79"/>
        <v>385</v>
      </c>
      <c r="B577" s="374" t="s">
        <v>1663</v>
      </c>
      <c r="C577" s="283">
        <v>33.04</v>
      </c>
      <c r="D577" s="374" t="s">
        <v>868</v>
      </c>
      <c r="H577" s="374" t="s">
        <v>1025</v>
      </c>
      <c r="M577" s="283">
        <v>8.1</v>
      </c>
      <c r="N577" s="374" t="s">
        <v>869</v>
      </c>
      <c r="O577" s="374" t="s">
        <v>617</v>
      </c>
      <c r="P577" s="283">
        <f>(C62)*2</f>
        <v>224.1</v>
      </c>
      <c r="Q577" s="374" t="s">
        <v>869</v>
      </c>
      <c r="R577" s="283">
        <f>(M577*P577)</f>
        <v>1815.21</v>
      </c>
      <c r="U577" s="374" t="s">
        <v>1025</v>
      </c>
      <c r="W577" s="744"/>
      <c r="AE577" s="283" t="str">
        <f t="shared" si="59"/>
        <v>|</v>
      </c>
      <c r="AG577" s="374" t="s">
        <v>2259</v>
      </c>
    </row>
    <row r="578" spans="1:33" ht="24" customHeight="1">
      <c r="A578" s="792">
        <f t="shared" si="79"/>
        <v>386</v>
      </c>
      <c r="B578" s="374" t="s">
        <v>1865</v>
      </c>
      <c r="C578" s="283">
        <v>33.04</v>
      </c>
      <c r="D578" s="374" t="s">
        <v>868</v>
      </c>
      <c r="H578" s="374" t="s">
        <v>1248</v>
      </c>
      <c r="M578" s="283">
        <v>8.1</v>
      </c>
      <c r="N578" s="374" t="s">
        <v>869</v>
      </c>
      <c r="O578" s="374" t="s">
        <v>2157</v>
      </c>
      <c r="P578" s="283">
        <f>(C26)</f>
        <v>38.950000000000003</v>
      </c>
      <c r="Q578" s="374" t="s">
        <v>869</v>
      </c>
      <c r="R578" s="283">
        <f>(M578*P578)</f>
        <v>315.5</v>
      </c>
      <c r="U578" s="374" t="s">
        <v>1248</v>
      </c>
      <c r="W578" s="744"/>
      <c r="AE578" s="283" t="str">
        <f t="shared" si="59"/>
        <v>|</v>
      </c>
      <c r="AG578" s="374" t="s">
        <v>2259</v>
      </c>
    </row>
    <row r="579" spans="1:33" ht="24" customHeight="1">
      <c r="A579" s="792">
        <f t="shared" si="79"/>
        <v>387</v>
      </c>
      <c r="B579" s="374" t="s">
        <v>1249</v>
      </c>
      <c r="C579" s="283">
        <v>33.04</v>
      </c>
      <c r="D579" s="374" t="s">
        <v>868</v>
      </c>
      <c r="H579" s="374" t="s">
        <v>1146</v>
      </c>
      <c r="M579" s="283">
        <v>30</v>
      </c>
      <c r="N579" s="374" t="s">
        <v>1771</v>
      </c>
      <c r="O579" s="374" t="s">
        <v>2158</v>
      </c>
      <c r="P579" s="283">
        <f>(C662)</f>
        <v>11.2</v>
      </c>
      <c r="Q579" s="374" t="s">
        <v>1771</v>
      </c>
      <c r="R579" s="283">
        <f>(M579*P579)</f>
        <v>336</v>
      </c>
      <c r="U579" s="374" t="s">
        <v>1146</v>
      </c>
      <c r="W579" s="744"/>
      <c r="AE579" s="283" t="str">
        <f t="shared" si="59"/>
        <v>|</v>
      </c>
      <c r="AG579" s="374" t="s">
        <v>2259</v>
      </c>
    </row>
    <row r="580" spans="1:33" ht="24" customHeight="1">
      <c r="A580" s="792">
        <f t="shared" si="79"/>
        <v>388</v>
      </c>
      <c r="B580" s="374" t="s">
        <v>1250</v>
      </c>
      <c r="C580" s="283">
        <v>33.04</v>
      </c>
      <c r="D580" s="374" t="s">
        <v>868</v>
      </c>
      <c r="H580" s="748" t="s">
        <v>1586</v>
      </c>
      <c r="I580" s="748" t="s">
        <v>1586</v>
      </c>
      <c r="O580" s="374" t="s">
        <v>1251</v>
      </c>
      <c r="U580" s="748" t="s">
        <v>1586</v>
      </c>
      <c r="V580" s="748" t="s">
        <v>1586</v>
      </c>
      <c r="W580" s="744"/>
      <c r="AE580" s="283" t="str">
        <f t="shared" si="59"/>
        <v>|</v>
      </c>
      <c r="AG580" s="374" t="s">
        <v>2259</v>
      </c>
    </row>
    <row r="581" spans="1:33" ht="24" customHeight="1">
      <c r="A581" s="792">
        <f t="shared" si="79"/>
        <v>389</v>
      </c>
      <c r="B581" s="374" t="s">
        <v>610</v>
      </c>
      <c r="C581" s="283">
        <v>538</v>
      </c>
      <c r="D581" s="374" t="s">
        <v>868</v>
      </c>
      <c r="G581" s="283" t="s">
        <v>689</v>
      </c>
      <c r="H581" s="374" t="s">
        <v>611</v>
      </c>
      <c r="O581" s="374" t="s">
        <v>2160</v>
      </c>
      <c r="T581" s="283" t="s">
        <v>689</v>
      </c>
      <c r="U581" s="374" t="s">
        <v>2163</v>
      </c>
      <c r="W581" s="744"/>
      <c r="AE581" s="283" t="str">
        <f t="shared" si="59"/>
        <v>|</v>
      </c>
      <c r="AG581" s="374" t="s">
        <v>2259</v>
      </c>
    </row>
    <row r="582" spans="1:33" ht="24" customHeight="1">
      <c r="A582" s="792">
        <f t="shared" si="79"/>
        <v>390</v>
      </c>
      <c r="B582" s="374" t="s">
        <v>2280</v>
      </c>
      <c r="C582" s="283">
        <v>340</v>
      </c>
      <c r="D582" s="374" t="s">
        <v>868</v>
      </c>
      <c r="H582" s="374" t="s">
        <v>2281</v>
      </c>
      <c r="O582" s="374" t="s">
        <v>2161</v>
      </c>
      <c r="U582" s="374" t="s">
        <v>2281</v>
      </c>
      <c r="W582" s="744"/>
      <c r="AE582" s="283" t="str">
        <f t="shared" si="59"/>
        <v>|</v>
      </c>
      <c r="AG582" s="374" t="s">
        <v>2259</v>
      </c>
    </row>
    <row r="583" spans="1:33" ht="24" customHeight="1">
      <c r="A583" s="792">
        <f t="shared" si="79"/>
        <v>391</v>
      </c>
      <c r="B583" s="374" t="s">
        <v>2282</v>
      </c>
      <c r="C583" s="283">
        <v>1039</v>
      </c>
      <c r="D583" s="374" t="s">
        <v>868</v>
      </c>
      <c r="F583" s="283">
        <v>10</v>
      </c>
      <c r="G583" s="283" t="s">
        <v>2283</v>
      </c>
      <c r="H583" s="374" t="s">
        <v>558</v>
      </c>
      <c r="I583" s="283">
        <f>C752</f>
        <v>376.7</v>
      </c>
      <c r="J583" s="374" t="s">
        <v>2283</v>
      </c>
      <c r="K583" s="283">
        <f>(F583*I583)</f>
        <v>3767</v>
      </c>
      <c r="O583" s="374" t="s">
        <v>2164</v>
      </c>
      <c r="S583" s="746">
        <v>10</v>
      </c>
      <c r="T583" s="283" t="s">
        <v>2283</v>
      </c>
      <c r="U583" s="374" t="s">
        <v>558</v>
      </c>
      <c r="V583" s="283">
        <f>I605</f>
        <v>408</v>
      </c>
      <c r="W583" s="744" t="s">
        <v>2283</v>
      </c>
      <c r="X583" s="283">
        <f>(S583*V583)</f>
        <v>4080</v>
      </c>
      <c r="AE583" s="283" t="str">
        <f t="shared" si="59"/>
        <v>|</v>
      </c>
      <c r="AG583" s="374" t="s">
        <v>2259</v>
      </c>
    </row>
    <row r="584" spans="1:33" ht="24" customHeight="1">
      <c r="A584" s="792">
        <f t="shared" si="79"/>
        <v>392</v>
      </c>
      <c r="B584" s="374" t="s">
        <v>5287</v>
      </c>
      <c r="C584" s="283">
        <v>230.2</v>
      </c>
      <c r="D584" s="374" t="s">
        <v>868</v>
      </c>
      <c r="F584" s="283">
        <v>1</v>
      </c>
      <c r="G584" s="283" t="s">
        <v>560</v>
      </c>
      <c r="H584" s="374" t="s">
        <v>561</v>
      </c>
      <c r="I584" s="283">
        <f>C10</f>
        <v>999</v>
      </c>
      <c r="J584" s="374" t="s">
        <v>1398</v>
      </c>
      <c r="K584" s="283">
        <f>(F584*I584)</f>
        <v>999</v>
      </c>
      <c r="M584" s="283">
        <v>8</v>
      </c>
      <c r="N584" s="374" t="s">
        <v>769</v>
      </c>
      <c r="O584" s="374" t="s">
        <v>2144</v>
      </c>
      <c r="P584" s="283">
        <v>10.199999999999999</v>
      </c>
      <c r="Q584" s="374" t="s">
        <v>769</v>
      </c>
      <c r="R584" s="283">
        <f>(M584*P584)</f>
        <v>81.599999999999994</v>
      </c>
      <c r="S584" s="746">
        <v>1</v>
      </c>
      <c r="T584" s="283" t="s">
        <v>560</v>
      </c>
      <c r="U584" s="374" t="s">
        <v>561</v>
      </c>
      <c r="V584" s="283">
        <f>I584</f>
        <v>999</v>
      </c>
      <c r="W584" s="744" t="s">
        <v>1398</v>
      </c>
      <c r="X584" s="283">
        <f>(S584*V584)</f>
        <v>999</v>
      </c>
      <c r="AE584" s="283" t="str">
        <f t="shared" si="59"/>
        <v>|</v>
      </c>
      <c r="AG584" s="374" t="s">
        <v>2259</v>
      </c>
    </row>
    <row r="585" spans="1:33" ht="24" customHeight="1">
      <c r="A585" s="792">
        <f t="shared" si="79"/>
        <v>393</v>
      </c>
      <c r="B585" s="374" t="s">
        <v>822</v>
      </c>
      <c r="C585" s="283">
        <v>31</v>
      </c>
      <c r="D585" s="374" t="s">
        <v>1152</v>
      </c>
      <c r="F585" s="283">
        <v>1</v>
      </c>
      <c r="G585" s="283" t="s">
        <v>560</v>
      </c>
      <c r="H585" s="374" t="s">
        <v>823</v>
      </c>
      <c r="I585" s="283">
        <f>C12</f>
        <v>651</v>
      </c>
      <c r="J585" s="374" t="s">
        <v>1398</v>
      </c>
      <c r="K585" s="283">
        <f>(F585*I585)</f>
        <v>651</v>
      </c>
      <c r="M585" s="283">
        <v>8</v>
      </c>
      <c r="N585" s="374" t="s">
        <v>769</v>
      </c>
      <c r="O585" s="374" t="s">
        <v>467</v>
      </c>
      <c r="P585" s="283">
        <v>28.5</v>
      </c>
      <c r="Q585" s="374" t="s">
        <v>769</v>
      </c>
      <c r="R585" s="283">
        <f>(M585*P585)</f>
        <v>228</v>
      </c>
      <c r="S585" s="746">
        <v>1</v>
      </c>
      <c r="T585" s="283" t="s">
        <v>560</v>
      </c>
      <c r="U585" s="374" t="s">
        <v>823</v>
      </c>
      <c r="V585" s="283">
        <f>I585</f>
        <v>651</v>
      </c>
      <c r="W585" s="744" t="s">
        <v>1398</v>
      </c>
      <c r="X585" s="283">
        <f>(S585*V585)</f>
        <v>651</v>
      </c>
      <c r="AE585" s="283" t="str">
        <f t="shared" si="59"/>
        <v>|</v>
      </c>
      <c r="AG585" s="374" t="s">
        <v>2259</v>
      </c>
    </row>
    <row r="586" spans="1:33" ht="24" customHeight="1">
      <c r="A586" s="792">
        <f t="shared" si="79"/>
        <v>394</v>
      </c>
      <c r="B586" s="374" t="s">
        <v>5288</v>
      </c>
      <c r="C586" s="283">
        <v>206</v>
      </c>
      <c r="D586" s="374" t="s">
        <v>868</v>
      </c>
      <c r="G586" s="283" t="s">
        <v>449</v>
      </c>
      <c r="H586" s="374" t="s">
        <v>59</v>
      </c>
      <c r="J586" s="374" t="s">
        <v>449</v>
      </c>
      <c r="K586" s="283">
        <v>120</v>
      </c>
      <c r="M586" s="283">
        <v>1</v>
      </c>
      <c r="N586" s="374" t="s">
        <v>449</v>
      </c>
      <c r="O586" s="374" t="s">
        <v>1684</v>
      </c>
      <c r="P586" s="283">
        <f>(C674)</f>
        <v>4</v>
      </c>
      <c r="Q586" s="374" t="s">
        <v>449</v>
      </c>
      <c r="R586" s="283">
        <f>(M586*P586)</f>
        <v>4</v>
      </c>
      <c r="T586" s="283" t="s">
        <v>449</v>
      </c>
      <c r="U586" s="374" t="s">
        <v>59</v>
      </c>
      <c r="V586" s="283">
        <f>I586</f>
        <v>0</v>
      </c>
      <c r="W586" s="744" t="s">
        <v>449</v>
      </c>
      <c r="X586" s="283">
        <v>120</v>
      </c>
      <c r="AE586" s="283" t="str">
        <f t="shared" si="59"/>
        <v>|</v>
      </c>
      <c r="AG586" s="374" t="s">
        <v>2259</v>
      </c>
    </row>
    <row r="587" spans="1:33" ht="24" customHeight="1">
      <c r="A587" s="792">
        <f t="shared" si="79"/>
        <v>395</v>
      </c>
      <c r="B587" s="374" t="s">
        <v>5852</v>
      </c>
      <c r="C587" s="283">
        <v>93.4</v>
      </c>
      <c r="D587" s="374" t="s">
        <v>868</v>
      </c>
      <c r="H587" s="374" t="s">
        <v>931</v>
      </c>
      <c r="K587" s="748" t="s">
        <v>1586</v>
      </c>
      <c r="M587" s="283">
        <v>1</v>
      </c>
      <c r="N587" s="374" t="s">
        <v>449</v>
      </c>
      <c r="O587" s="374" t="s">
        <v>450</v>
      </c>
      <c r="Q587" s="374" t="s">
        <v>449</v>
      </c>
      <c r="R587" s="283">
        <v>0</v>
      </c>
      <c r="U587" s="374" t="s">
        <v>931</v>
      </c>
      <c r="W587" s="744"/>
      <c r="X587" s="748" t="s">
        <v>1586</v>
      </c>
      <c r="AE587" s="283">
        <f t="shared" si="59"/>
        <v>0</v>
      </c>
    </row>
    <row r="588" spans="1:33" ht="24" customHeight="1">
      <c r="A588" s="792">
        <f t="shared" si="79"/>
        <v>396</v>
      </c>
      <c r="B588" s="374" t="s">
        <v>1059</v>
      </c>
      <c r="C588" s="283">
        <v>57.51</v>
      </c>
      <c r="D588" s="374" t="s">
        <v>868</v>
      </c>
      <c r="H588" s="744" t="s">
        <v>1060</v>
      </c>
      <c r="K588" s="283">
        <f>SUM(K583:K586)</f>
        <v>5537</v>
      </c>
      <c r="R588" s="748" t="s">
        <v>1586</v>
      </c>
      <c r="U588" s="744" t="s">
        <v>1060</v>
      </c>
      <c r="W588" s="744"/>
      <c r="X588" s="283">
        <f>SUM(X583:X586)</f>
        <v>5850</v>
      </c>
      <c r="AE588" s="283" t="str">
        <f t="shared" si="59"/>
        <v>|</v>
      </c>
      <c r="AG588" s="374" t="s">
        <v>2259</v>
      </c>
    </row>
    <row r="589" spans="1:33" ht="24" customHeight="1">
      <c r="A589" s="792">
        <f>(A588+1)</f>
        <v>397</v>
      </c>
      <c r="B589" s="374" t="s">
        <v>917</v>
      </c>
      <c r="C589" s="283">
        <v>30</v>
      </c>
      <c r="D589" s="374" t="s">
        <v>868</v>
      </c>
      <c r="K589" s="748" t="s">
        <v>1586</v>
      </c>
      <c r="O589" s="374" t="s">
        <v>1544</v>
      </c>
      <c r="R589" s="283">
        <f>SUM(R577:R587)</f>
        <v>2780.31</v>
      </c>
      <c r="W589" s="744"/>
      <c r="X589" s="748" t="s">
        <v>1586</v>
      </c>
      <c r="AE589" s="283" t="str">
        <f t="shared" si="59"/>
        <v>|</v>
      </c>
      <c r="AG589" s="374" t="s">
        <v>2259</v>
      </c>
    </row>
    <row r="590" spans="1:33" ht="24" customHeight="1">
      <c r="A590" s="792">
        <f t="shared" ref="A590:A637" si="80">(A589+1)</f>
        <v>398</v>
      </c>
      <c r="B590" s="374" t="s">
        <v>502</v>
      </c>
      <c r="C590" s="283">
        <v>57.51</v>
      </c>
      <c r="D590" s="374" t="s">
        <v>868</v>
      </c>
      <c r="H590" s="744" t="s">
        <v>503</v>
      </c>
      <c r="K590" s="283">
        <f>K588/10</f>
        <v>553.70000000000005</v>
      </c>
      <c r="R590" s="748" t="s">
        <v>1586</v>
      </c>
      <c r="U590" s="744" t="s">
        <v>503</v>
      </c>
      <c r="W590" s="744"/>
      <c r="X590" s="283">
        <f>X588/10</f>
        <v>585</v>
      </c>
      <c r="AE590" s="283" t="str">
        <f t="shared" si="59"/>
        <v>|</v>
      </c>
      <c r="AG590" s="374" t="s">
        <v>2259</v>
      </c>
    </row>
    <row r="591" spans="1:33" ht="24" customHeight="1">
      <c r="A591" s="792">
        <f t="shared" si="80"/>
        <v>399</v>
      </c>
      <c r="B591" s="374" t="s">
        <v>1909</v>
      </c>
      <c r="C591" s="283">
        <v>20</v>
      </c>
      <c r="D591" s="374" t="s">
        <v>868</v>
      </c>
      <c r="H591" s="374" t="s">
        <v>386</v>
      </c>
      <c r="I591" s="283">
        <f t="shared" ref="I591:I600" si="81">K590</f>
        <v>553.70000000000005</v>
      </c>
      <c r="J591" s="374">
        <f>C22*0.02</f>
        <v>2.4</v>
      </c>
      <c r="K591" s="751">
        <f>I591+J591</f>
        <v>556.1</v>
      </c>
      <c r="O591" s="374" t="s">
        <v>1545</v>
      </c>
      <c r="R591" s="283">
        <f>(R589/30)</f>
        <v>92.68</v>
      </c>
      <c r="U591" s="374" t="s">
        <v>386</v>
      </c>
      <c r="V591" s="283">
        <f>J613</f>
        <v>4.79</v>
      </c>
      <c r="W591" s="744">
        <f>P22*0.02</f>
        <v>41.48</v>
      </c>
      <c r="X591" s="751">
        <f>X590+V591</f>
        <v>589.79</v>
      </c>
      <c r="Y591" s="283">
        <f>X596+V595</f>
        <v>646.42999999999995</v>
      </c>
      <c r="AE591" s="283" t="str">
        <f t="shared" si="59"/>
        <v>|</v>
      </c>
      <c r="AG591" s="374" t="s">
        <v>2259</v>
      </c>
    </row>
    <row r="592" spans="1:33" ht="24" customHeight="1">
      <c r="A592" s="792">
        <f t="shared" si="80"/>
        <v>400</v>
      </c>
      <c r="B592" s="374" t="s">
        <v>1910</v>
      </c>
      <c r="C592" s="283">
        <v>21.92</v>
      </c>
      <c r="D592" s="374" t="s">
        <v>868</v>
      </c>
      <c r="H592" s="374" t="s">
        <v>388</v>
      </c>
      <c r="I592" s="283">
        <f t="shared" si="81"/>
        <v>556.1</v>
      </c>
      <c r="J592" s="374">
        <f>C23*0.02</f>
        <v>4.72</v>
      </c>
      <c r="K592" s="751">
        <f>I592+J592</f>
        <v>560.82000000000005</v>
      </c>
      <c r="N592" s="374" t="s">
        <v>2251</v>
      </c>
      <c r="O592" s="374" t="s">
        <v>1911</v>
      </c>
      <c r="U592" s="374" t="s">
        <v>388</v>
      </c>
      <c r="V592" s="283">
        <f>J614</f>
        <v>9.44</v>
      </c>
      <c r="W592" s="744">
        <f>P23*0.02</f>
        <v>22.28</v>
      </c>
      <c r="X592" s="751">
        <f>X591+V592</f>
        <v>599.23</v>
      </c>
      <c r="Y592" s="283">
        <f>Y591+V595</f>
        <v>655.87</v>
      </c>
      <c r="AE592" s="283" t="str">
        <f t="shared" si="59"/>
        <v>|</v>
      </c>
      <c r="AG592" s="374" t="s">
        <v>2259</v>
      </c>
    </row>
    <row r="593" spans="1:33" ht="24" customHeight="1">
      <c r="A593" s="792">
        <f t="shared" si="80"/>
        <v>401</v>
      </c>
      <c r="B593" s="374" t="s">
        <v>5853</v>
      </c>
      <c r="C593" s="283">
        <v>145.15</v>
      </c>
      <c r="D593" s="374" t="s">
        <v>868</v>
      </c>
      <c r="H593" s="374" t="s">
        <v>2232</v>
      </c>
      <c r="I593" s="283">
        <f t="shared" si="81"/>
        <v>560.82000000000005</v>
      </c>
      <c r="J593" s="374">
        <f>C23*0.02</f>
        <v>4.72</v>
      </c>
      <c r="K593" s="751">
        <f>I593+J593</f>
        <v>565.54</v>
      </c>
      <c r="O593" s="374" t="s">
        <v>239</v>
      </c>
      <c r="U593" s="374" t="s">
        <v>2232</v>
      </c>
      <c r="V593" s="283">
        <f>J615</f>
        <v>9.44</v>
      </c>
      <c r="W593" s="744">
        <f>P23*0.02</f>
        <v>22.28</v>
      </c>
      <c r="X593" s="751">
        <f>X592+V593</f>
        <v>608.66999999999996</v>
      </c>
      <c r="Y593" s="283">
        <f>Y592+V595</f>
        <v>665.31</v>
      </c>
      <c r="AE593" s="283" t="str">
        <f t="shared" si="59"/>
        <v>|</v>
      </c>
      <c r="AG593" s="374" t="s">
        <v>2259</v>
      </c>
    </row>
    <row r="594" spans="1:33" ht="24" customHeight="1">
      <c r="A594" s="792">
        <f t="shared" si="80"/>
        <v>402</v>
      </c>
      <c r="B594" s="374" t="s">
        <v>5854</v>
      </c>
      <c r="C594" s="283">
        <v>995</v>
      </c>
      <c r="D594" s="374" t="s">
        <v>868</v>
      </c>
      <c r="H594" s="374" t="s">
        <v>380</v>
      </c>
      <c r="I594" s="283">
        <f t="shared" si="81"/>
        <v>565.54</v>
      </c>
      <c r="J594" s="374">
        <f>C23*0.02</f>
        <v>4.72</v>
      </c>
      <c r="K594" s="751">
        <f>I594+J594</f>
        <v>570.26</v>
      </c>
      <c r="O594" s="748" t="s">
        <v>1586</v>
      </c>
      <c r="U594" s="374" t="s">
        <v>380</v>
      </c>
      <c r="V594" s="283">
        <f>J616</f>
        <v>9.44</v>
      </c>
      <c r="W594" s="744">
        <f>P23*0.02</f>
        <v>22.28</v>
      </c>
      <c r="X594" s="751">
        <f>X593+V594</f>
        <v>618.11</v>
      </c>
      <c r="Y594" s="283">
        <f>Y593+V595</f>
        <v>674.75</v>
      </c>
      <c r="AE594" s="283" t="str">
        <f t="shared" si="59"/>
        <v>|</v>
      </c>
      <c r="AG594" s="374" t="s">
        <v>2259</v>
      </c>
    </row>
    <row r="595" spans="1:33" ht="24" customHeight="1">
      <c r="A595" s="792"/>
      <c r="B595" s="374"/>
      <c r="D595" s="374"/>
      <c r="H595" s="374" t="s">
        <v>1364</v>
      </c>
      <c r="I595" s="283">
        <f t="shared" si="81"/>
        <v>570.26</v>
      </c>
      <c r="J595" s="374">
        <f>C23*0.02</f>
        <v>4.72</v>
      </c>
      <c r="K595" s="751">
        <f t="shared" ref="K595:K600" si="82">I595+J595</f>
        <v>574.98</v>
      </c>
      <c r="O595" s="748"/>
      <c r="U595" s="374" t="s">
        <v>1364</v>
      </c>
      <c r="V595" s="283">
        <f>J617</f>
        <v>9.44</v>
      </c>
      <c r="W595" s="744">
        <f>P23*0.02</f>
        <v>22.28</v>
      </c>
      <c r="X595" s="751">
        <f>X594+V595</f>
        <v>627.54999999999995</v>
      </c>
      <c r="Y595" s="283">
        <f>Y594+V595</f>
        <v>684.19</v>
      </c>
      <c r="AE595" s="283" t="str">
        <f t="shared" si="59"/>
        <v>|::</v>
      </c>
      <c r="AG595" s="374" t="s">
        <v>321</v>
      </c>
    </row>
    <row r="596" spans="1:33" ht="24" customHeight="1">
      <c r="A596" s="792">
        <f>(A594+1)</f>
        <v>403</v>
      </c>
      <c r="B596" s="374" t="s">
        <v>543</v>
      </c>
      <c r="C596" s="283">
        <v>21</v>
      </c>
      <c r="D596" s="374" t="s">
        <v>868</v>
      </c>
      <c r="H596" s="374" t="s">
        <v>3562</v>
      </c>
      <c r="I596" s="283">
        <f t="shared" si="81"/>
        <v>574.98</v>
      </c>
      <c r="J596" s="374">
        <f>C23*0.02</f>
        <v>4.72</v>
      </c>
      <c r="K596" s="751">
        <f t="shared" si="82"/>
        <v>579.70000000000005</v>
      </c>
      <c r="M596" s="283">
        <v>1.08</v>
      </c>
      <c r="N596" s="374" t="s">
        <v>869</v>
      </c>
      <c r="O596" s="374" t="s">
        <v>787</v>
      </c>
      <c r="P596" s="283">
        <f>(K89)</f>
        <v>237.08</v>
      </c>
      <c r="Q596" s="374" t="s">
        <v>869</v>
      </c>
      <c r="R596" s="283">
        <f>(M596*P596)</f>
        <v>256.05</v>
      </c>
      <c r="S596" s="771">
        <v>15.2</v>
      </c>
      <c r="T596" s="283" t="s">
        <v>689</v>
      </c>
      <c r="U596" s="374" t="s">
        <v>786</v>
      </c>
      <c r="W596" s="744"/>
      <c r="X596" s="751">
        <f>X595+V595</f>
        <v>636.99</v>
      </c>
      <c r="AE596" s="283">
        <f t="shared" si="59"/>
        <v>0</v>
      </c>
    </row>
    <row r="597" spans="1:33" ht="24" customHeight="1">
      <c r="A597" s="792">
        <f t="shared" si="80"/>
        <v>404</v>
      </c>
      <c r="B597" s="374" t="s">
        <v>788</v>
      </c>
      <c r="C597" s="283">
        <v>150</v>
      </c>
      <c r="D597" s="374" t="s">
        <v>868</v>
      </c>
      <c r="H597" s="374" t="s">
        <v>3563</v>
      </c>
      <c r="I597" s="283">
        <f t="shared" si="81"/>
        <v>579.70000000000005</v>
      </c>
      <c r="J597" s="374">
        <f>C23*0.02</f>
        <v>4.72</v>
      </c>
      <c r="K597" s="751">
        <f t="shared" si="82"/>
        <v>584.41999999999996</v>
      </c>
      <c r="M597" s="746">
        <v>0.216</v>
      </c>
      <c r="N597" s="374" t="s">
        <v>869</v>
      </c>
      <c r="O597" s="374" t="s">
        <v>789</v>
      </c>
      <c r="P597" s="283">
        <f>(R61)</f>
        <v>4278.7700000000004</v>
      </c>
      <c r="Q597" s="374" t="s">
        <v>869</v>
      </c>
      <c r="R597" s="283">
        <f>(M597*P597)</f>
        <v>924.21</v>
      </c>
      <c r="W597" s="744"/>
      <c r="AE597" s="283">
        <f t="shared" si="59"/>
        <v>0</v>
      </c>
    </row>
    <row r="598" spans="1:33" ht="24" customHeight="1">
      <c r="A598" s="792">
        <f t="shared" si="80"/>
        <v>405</v>
      </c>
      <c r="B598" s="374" t="s">
        <v>4580</v>
      </c>
      <c r="C598" s="283">
        <v>21.6</v>
      </c>
      <c r="D598" s="374" t="s">
        <v>868</v>
      </c>
      <c r="H598" s="374" t="s">
        <v>3564</v>
      </c>
      <c r="I598" s="283">
        <f t="shared" si="81"/>
        <v>584.41999999999996</v>
      </c>
      <c r="J598" s="374">
        <f>C23*0.02</f>
        <v>4.72</v>
      </c>
      <c r="K598" s="751">
        <f t="shared" si="82"/>
        <v>589.14</v>
      </c>
      <c r="M598" s="746">
        <v>0.48699999999999999</v>
      </c>
      <c r="N598" s="374" t="s">
        <v>869</v>
      </c>
      <c r="O598" s="374" t="s">
        <v>1976</v>
      </c>
      <c r="P598" s="283">
        <f>AG322</f>
        <v>6598.86</v>
      </c>
      <c r="Q598" s="374" t="s">
        <v>869</v>
      </c>
      <c r="R598" s="283">
        <f>(M598*P598)</f>
        <v>3213.64</v>
      </c>
      <c r="W598" s="744"/>
      <c r="AE598" s="283" t="str">
        <f t="shared" ref="AE598:AE638" si="83">AG598</f>
        <v>|</v>
      </c>
      <c r="AG598" s="374" t="s">
        <v>2259</v>
      </c>
    </row>
    <row r="599" spans="1:33" ht="24" customHeight="1">
      <c r="A599" s="792">
        <f t="shared" si="80"/>
        <v>406</v>
      </c>
      <c r="B599" s="374" t="s">
        <v>5855</v>
      </c>
      <c r="C599" s="283">
        <v>57.65</v>
      </c>
      <c r="D599" s="283">
        <v>49.55</v>
      </c>
      <c r="E599" s="283" t="s">
        <v>5289</v>
      </c>
      <c r="H599" s="374" t="s">
        <v>3565</v>
      </c>
      <c r="I599" s="283">
        <f t="shared" si="81"/>
        <v>589.14</v>
      </c>
      <c r="J599" s="374">
        <f>C23*0.02</f>
        <v>4.72</v>
      </c>
      <c r="K599" s="751">
        <f t="shared" si="82"/>
        <v>593.86</v>
      </c>
      <c r="M599" s="746">
        <v>5.36</v>
      </c>
      <c r="N599" s="374" t="s">
        <v>609</v>
      </c>
      <c r="O599" s="374" t="s">
        <v>1977</v>
      </c>
      <c r="P599" s="283">
        <f>(R305)</f>
        <v>272.43</v>
      </c>
      <c r="Q599" s="374" t="s">
        <v>609</v>
      </c>
      <c r="R599" s="283">
        <f>(M599*P599)</f>
        <v>1460.22</v>
      </c>
      <c r="W599" s="744"/>
      <c r="AE599" s="283" t="str">
        <f t="shared" si="83"/>
        <v>|</v>
      </c>
      <c r="AG599" s="374" t="s">
        <v>2259</v>
      </c>
    </row>
    <row r="600" spans="1:33" ht="24" customHeight="1">
      <c r="A600" s="792">
        <f t="shared" si="80"/>
        <v>407</v>
      </c>
      <c r="B600" s="374" t="s">
        <v>424</v>
      </c>
      <c r="C600" s="283">
        <v>208.5</v>
      </c>
      <c r="D600" s="374" t="s">
        <v>868</v>
      </c>
      <c r="H600" s="374">
        <v>9</v>
      </c>
      <c r="I600" s="283">
        <f t="shared" si="81"/>
        <v>593.86</v>
      </c>
      <c r="J600" s="374">
        <f>C23*0.02</f>
        <v>4.72</v>
      </c>
      <c r="K600" s="751">
        <f t="shared" si="82"/>
        <v>598.58000000000004</v>
      </c>
      <c r="M600" s="746">
        <v>3.2000000000000001E-2</v>
      </c>
      <c r="N600" s="374" t="s">
        <v>869</v>
      </c>
      <c r="O600" s="374" t="s">
        <v>779</v>
      </c>
      <c r="P600" s="283">
        <f>(K644)</f>
        <v>8015</v>
      </c>
      <c r="Q600" s="374" t="s">
        <v>869</v>
      </c>
      <c r="R600" s="283">
        <f>(M600*P600)</f>
        <v>256.48</v>
      </c>
      <c r="W600" s="744"/>
      <c r="AE600" s="283" t="str">
        <f t="shared" si="83"/>
        <v>|</v>
      </c>
      <c r="AG600" s="374" t="s">
        <v>2259</v>
      </c>
    </row>
    <row r="601" spans="1:33" ht="24" customHeight="1">
      <c r="A601" s="792">
        <f t="shared" si="80"/>
        <v>408</v>
      </c>
      <c r="B601" s="374" t="s">
        <v>2041</v>
      </c>
      <c r="C601" s="283">
        <v>172</v>
      </c>
      <c r="D601" s="374" t="s">
        <v>868</v>
      </c>
      <c r="H601" s="374"/>
      <c r="K601" s="751"/>
      <c r="O601" s="374" t="s">
        <v>288</v>
      </c>
      <c r="R601" s="374" t="s">
        <v>975</v>
      </c>
      <c r="W601" s="744"/>
      <c r="AE601" s="283" t="str">
        <f t="shared" si="83"/>
        <v>|</v>
      </c>
      <c r="AG601" s="374" t="s">
        <v>2259</v>
      </c>
    </row>
    <row r="602" spans="1:33" ht="47.25" customHeight="1">
      <c r="A602" s="792">
        <f t="shared" si="80"/>
        <v>409</v>
      </c>
      <c r="B602" s="789" t="s">
        <v>5290</v>
      </c>
      <c r="C602" s="784">
        <f>ROUND(35.15/0.093025,2)</f>
        <v>377.86</v>
      </c>
      <c r="D602" s="374" t="s">
        <v>609</v>
      </c>
      <c r="H602" s="374"/>
      <c r="K602" s="751"/>
      <c r="N602" s="374" t="s">
        <v>449</v>
      </c>
      <c r="O602" s="374" t="s">
        <v>340</v>
      </c>
      <c r="Q602" s="374" t="s">
        <v>449</v>
      </c>
      <c r="R602" s="283">
        <v>2.66</v>
      </c>
      <c r="W602" s="744"/>
      <c r="AE602" s="283" t="str">
        <f t="shared" si="83"/>
        <v>|</v>
      </c>
      <c r="AG602" s="374" t="s">
        <v>2259</v>
      </c>
    </row>
    <row r="603" spans="1:33" ht="31.5">
      <c r="A603" s="792">
        <f t="shared" si="80"/>
        <v>410</v>
      </c>
      <c r="B603" s="777" t="s">
        <v>6093</v>
      </c>
      <c r="C603" s="283">
        <f>8.3/0.02</f>
        <v>415</v>
      </c>
      <c r="D603" s="374" t="s">
        <v>609</v>
      </c>
      <c r="E603" s="374">
        <f>7.25/0.02</f>
        <v>362.5</v>
      </c>
      <c r="F603" s="765">
        <v>15.2</v>
      </c>
      <c r="G603" s="283" t="s">
        <v>689</v>
      </c>
      <c r="H603" s="374" t="s">
        <v>786</v>
      </c>
      <c r="K603" s="751">
        <f>K595+J595</f>
        <v>579.70000000000005</v>
      </c>
      <c r="R603" s="748" t="s">
        <v>1586</v>
      </c>
      <c r="W603" s="744"/>
      <c r="AE603" s="283" t="str">
        <f t="shared" si="83"/>
        <v>|</v>
      </c>
      <c r="AG603" s="374" t="s">
        <v>2259</v>
      </c>
    </row>
    <row r="604" spans="1:33" ht="24" customHeight="1">
      <c r="A604" s="792">
        <f t="shared" si="80"/>
        <v>411</v>
      </c>
      <c r="B604" s="374" t="s">
        <v>341</v>
      </c>
      <c r="C604" s="283">
        <v>75</v>
      </c>
      <c r="D604" s="374" t="s">
        <v>868</v>
      </c>
      <c r="H604" s="374" t="s">
        <v>2281</v>
      </c>
      <c r="O604" s="374" t="s">
        <v>1751</v>
      </c>
      <c r="R604" s="283">
        <f>SUM(R596:R602)</f>
        <v>6113.26</v>
      </c>
      <c r="W604" s="744"/>
      <c r="AE604" s="283" t="str">
        <f t="shared" si="83"/>
        <v>|</v>
      </c>
      <c r="AG604" s="374" t="s">
        <v>2259</v>
      </c>
    </row>
    <row r="605" spans="1:33" ht="24" customHeight="1">
      <c r="A605" s="792">
        <f t="shared" si="80"/>
        <v>412</v>
      </c>
      <c r="B605" s="374" t="s">
        <v>1752</v>
      </c>
      <c r="C605" s="283">
        <v>125</v>
      </c>
      <c r="D605" s="374" t="s">
        <v>868</v>
      </c>
      <c r="F605" s="283">
        <v>1</v>
      </c>
      <c r="G605" s="283" t="s">
        <v>2283</v>
      </c>
      <c r="H605" s="374" t="s">
        <v>558</v>
      </c>
      <c r="I605" s="283">
        <f>D752</f>
        <v>408</v>
      </c>
      <c r="J605" s="374" t="s">
        <v>2283</v>
      </c>
      <c r="K605" s="283">
        <f>(F605*I605)</f>
        <v>408</v>
      </c>
      <c r="R605" s="748" t="s">
        <v>1586</v>
      </c>
      <c r="W605" s="744"/>
      <c r="AE605" s="283" t="str">
        <f t="shared" si="83"/>
        <v>|</v>
      </c>
      <c r="AG605" s="374" t="s">
        <v>2259</v>
      </c>
    </row>
    <row r="606" spans="1:33" ht="24" customHeight="1">
      <c r="A606" s="792">
        <f t="shared" si="80"/>
        <v>413</v>
      </c>
      <c r="B606" s="374" t="s">
        <v>1753</v>
      </c>
      <c r="C606" s="283">
        <v>190</v>
      </c>
      <c r="D606" s="374" t="s">
        <v>868</v>
      </c>
      <c r="F606" s="283">
        <v>0.75</v>
      </c>
      <c r="G606" s="283" t="s">
        <v>560</v>
      </c>
      <c r="H606" s="374" t="s">
        <v>561</v>
      </c>
      <c r="I606" s="283">
        <f>C10</f>
        <v>999</v>
      </c>
      <c r="J606" s="374" t="s">
        <v>1398</v>
      </c>
      <c r="K606" s="283">
        <f>(F606*I606)</f>
        <v>749.25</v>
      </c>
      <c r="N606" s="374" t="s">
        <v>2251</v>
      </c>
      <c r="O606" s="374" t="s">
        <v>1911</v>
      </c>
      <c r="W606" s="744"/>
      <c r="AE606" s="283" t="str">
        <f t="shared" si="83"/>
        <v>|</v>
      </c>
      <c r="AG606" s="374" t="s">
        <v>2259</v>
      </c>
    </row>
    <row r="607" spans="1:33" ht="24" customHeight="1">
      <c r="A607" s="792">
        <f t="shared" si="80"/>
        <v>414</v>
      </c>
      <c r="B607" s="374" t="s">
        <v>1754</v>
      </c>
      <c r="C607" s="283">
        <v>16</v>
      </c>
      <c r="D607" s="374" t="s">
        <v>868</v>
      </c>
      <c r="F607" s="283">
        <v>0.75</v>
      </c>
      <c r="G607" s="283" t="s">
        <v>560</v>
      </c>
      <c r="H607" s="374" t="s">
        <v>823</v>
      </c>
      <c r="I607" s="283">
        <f>C12</f>
        <v>651</v>
      </c>
      <c r="J607" s="374" t="s">
        <v>1398</v>
      </c>
      <c r="K607" s="283">
        <f>(F607*I607)</f>
        <v>488.25</v>
      </c>
      <c r="O607" s="374" t="s">
        <v>1755</v>
      </c>
      <c r="W607" s="744"/>
      <c r="AE607" s="283" t="str">
        <f t="shared" si="83"/>
        <v>|</v>
      </c>
      <c r="AG607" s="374" t="s">
        <v>2259</v>
      </c>
    </row>
    <row r="608" spans="1:33" ht="24" customHeight="1">
      <c r="A608" s="792">
        <f t="shared" si="80"/>
        <v>415</v>
      </c>
      <c r="B608" s="374" t="s">
        <v>5856</v>
      </c>
      <c r="C608" s="283">
        <v>11.8</v>
      </c>
      <c r="D608" s="374" t="s">
        <v>1645</v>
      </c>
      <c r="F608" s="283">
        <v>0.5</v>
      </c>
      <c r="G608" s="283" t="s">
        <v>560</v>
      </c>
      <c r="H608" s="374" t="s">
        <v>2042</v>
      </c>
      <c r="I608" s="283">
        <f>C41</f>
        <v>738</v>
      </c>
      <c r="J608" s="374" t="s">
        <v>1398</v>
      </c>
      <c r="K608" s="283">
        <f>(F608*I608)</f>
        <v>369</v>
      </c>
      <c r="O608" s="748" t="s">
        <v>1586</v>
      </c>
      <c r="W608" s="744"/>
      <c r="AE608" s="283" t="str">
        <f t="shared" si="83"/>
        <v>|</v>
      </c>
      <c r="AG608" s="374" t="s">
        <v>2259</v>
      </c>
    </row>
    <row r="609" spans="1:33" ht="24" customHeight="1">
      <c r="A609" s="792">
        <f t="shared" si="80"/>
        <v>416</v>
      </c>
      <c r="B609" s="374" t="s">
        <v>5291</v>
      </c>
      <c r="C609" s="283">
        <f>(22.6+27.25)/2</f>
        <v>24.93</v>
      </c>
      <c r="D609" s="374" t="s">
        <v>1645</v>
      </c>
      <c r="G609" s="283" t="s">
        <v>449</v>
      </c>
      <c r="H609" s="374" t="s">
        <v>59</v>
      </c>
      <c r="J609" s="374" t="s">
        <v>449</v>
      </c>
      <c r="K609" s="283">
        <v>53.5</v>
      </c>
      <c r="M609" s="283">
        <v>1.3</v>
      </c>
      <c r="N609" s="374" t="s">
        <v>869</v>
      </c>
      <c r="O609" s="374" t="s">
        <v>787</v>
      </c>
      <c r="P609" s="283">
        <f>(K89)</f>
        <v>237.08</v>
      </c>
      <c r="Q609" s="374" t="s">
        <v>869</v>
      </c>
      <c r="R609" s="283">
        <f>(M609*P609)</f>
        <v>308.2</v>
      </c>
      <c r="W609" s="744"/>
      <c r="AE609" s="283" t="str">
        <f t="shared" si="83"/>
        <v>|</v>
      </c>
      <c r="AG609" s="374" t="s">
        <v>2259</v>
      </c>
    </row>
    <row r="610" spans="1:33" ht="24" customHeight="1">
      <c r="A610" s="792"/>
      <c r="B610" s="374" t="s">
        <v>5292</v>
      </c>
      <c r="C610" s="283">
        <v>22.6</v>
      </c>
      <c r="D610" s="374" t="s">
        <v>1645</v>
      </c>
      <c r="H610" s="374" t="s">
        <v>931</v>
      </c>
      <c r="K610" s="748" t="s">
        <v>1586</v>
      </c>
      <c r="N610" s="374"/>
      <c r="O610" s="374"/>
      <c r="Q610" s="374"/>
      <c r="W610" s="744"/>
      <c r="AE610" s="283" t="str">
        <f t="shared" si="83"/>
        <v>|</v>
      </c>
      <c r="AG610" s="374" t="s">
        <v>2259</v>
      </c>
    </row>
    <row r="611" spans="1:33" ht="24" customHeight="1">
      <c r="A611" s="792">
        <f>(A609+1)</f>
        <v>417</v>
      </c>
      <c r="B611" s="374" t="s">
        <v>5293</v>
      </c>
      <c r="C611" s="283">
        <v>27.25</v>
      </c>
      <c r="D611" s="374" t="s">
        <v>1645</v>
      </c>
      <c r="H611" s="744" t="s">
        <v>1750</v>
      </c>
      <c r="K611" s="283">
        <f>SUM(K605:K609)</f>
        <v>2068</v>
      </c>
      <c r="M611" s="746">
        <v>0.216</v>
      </c>
      <c r="N611" s="374" t="s">
        <v>869</v>
      </c>
      <c r="O611" s="374" t="s">
        <v>789</v>
      </c>
      <c r="P611" s="283">
        <f>(R61)</f>
        <v>4278.7700000000004</v>
      </c>
      <c r="Q611" s="374" t="s">
        <v>869</v>
      </c>
      <c r="R611" s="283">
        <f>(M611*P611)</f>
        <v>924.21</v>
      </c>
      <c r="W611" s="744"/>
      <c r="AE611" s="283">
        <f t="shared" si="83"/>
        <v>0</v>
      </c>
      <c r="AG611" s="374"/>
    </row>
    <row r="612" spans="1:33" ht="24" customHeight="1">
      <c r="A612" s="792">
        <f t="shared" si="80"/>
        <v>418</v>
      </c>
      <c r="B612" s="374" t="s">
        <v>4581</v>
      </c>
      <c r="C612" s="283">
        <v>7.5</v>
      </c>
      <c r="D612" s="374" t="s">
        <v>769</v>
      </c>
      <c r="K612" s="748" t="s">
        <v>1586</v>
      </c>
      <c r="M612" s="746">
        <v>0.60099999999999998</v>
      </c>
      <c r="N612" s="374" t="s">
        <v>869</v>
      </c>
      <c r="O612" s="374" t="s">
        <v>1976</v>
      </c>
      <c r="P612" s="283">
        <f>P598</f>
        <v>6598.86</v>
      </c>
      <c r="Q612" s="374" t="s">
        <v>869</v>
      </c>
      <c r="R612" s="283">
        <f>(M612*P612)</f>
        <v>3965.91</v>
      </c>
      <c r="W612" s="744"/>
      <c r="AE612" s="283" t="str">
        <f t="shared" si="83"/>
        <v>|</v>
      </c>
      <c r="AG612" s="374" t="s">
        <v>2259</v>
      </c>
    </row>
    <row r="613" spans="1:33" ht="24" customHeight="1">
      <c r="A613" s="792">
        <f t="shared" si="80"/>
        <v>419</v>
      </c>
      <c r="B613" s="374" t="s">
        <v>4582</v>
      </c>
      <c r="C613" s="283">
        <v>16</v>
      </c>
      <c r="D613" s="374" t="s">
        <v>769</v>
      </c>
      <c r="E613" s="283" t="s">
        <v>1559</v>
      </c>
      <c r="H613" s="374" t="s">
        <v>386</v>
      </c>
      <c r="I613" s="283">
        <f>K611</f>
        <v>2068</v>
      </c>
      <c r="J613" s="374">
        <f>C22*0.04</f>
        <v>4.79</v>
      </c>
      <c r="K613" s="751">
        <f>(K611+C22*0.04)</f>
        <v>2072.79</v>
      </c>
      <c r="M613" s="746">
        <v>6.35</v>
      </c>
      <c r="N613" s="374" t="s">
        <v>609</v>
      </c>
      <c r="O613" s="374" t="s">
        <v>1977</v>
      </c>
      <c r="P613" s="283">
        <f>(R305)</f>
        <v>272.43</v>
      </c>
      <c r="Q613" s="374" t="s">
        <v>609</v>
      </c>
      <c r="R613" s="283">
        <f>(M613*P613)</f>
        <v>1729.93</v>
      </c>
      <c r="W613" s="744"/>
      <c r="AE613" s="283" t="str">
        <f t="shared" si="83"/>
        <v>|</v>
      </c>
      <c r="AG613" s="374" t="s">
        <v>2259</v>
      </c>
    </row>
    <row r="614" spans="1:33" ht="24" customHeight="1">
      <c r="A614" s="792">
        <f t="shared" si="80"/>
        <v>420</v>
      </c>
      <c r="B614" s="374" t="s">
        <v>5857</v>
      </c>
      <c r="C614" s="283">
        <v>3090</v>
      </c>
      <c r="D614" s="374" t="s">
        <v>783</v>
      </c>
      <c r="E614" s="283">
        <v>3484</v>
      </c>
      <c r="H614" s="374" t="s">
        <v>388</v>
      </c>
      <c r="I614" s="283">
        <f>K613</f>
        <v>2072.79</v>
      </c>
      <c r="J614" s="374">
        <f>C23*0.04</f>
        <v>9.44</v>
      </c>
      <c r="K614" s="751">
        <f>(K613+C23*0.04)</f>
        <v>2082.23</v>
      </c>
      <c r="M614" s="746">
        <v>3.2000000000000001E-2</v>
      </c>
      <c r="N614" s="374" t="s">
        <v>869</v>
      </c>
      <c r="O614" s="374" t="s">
        <v>779</v>
      </c>
      <c r="P614" s="283">
        <f>(K644)</f>
        <v>8015</v>
      </c>
      <c r="Q614" s="374" t="s">
        <v>869</v>
      </c>
      <c r="R614" s="283">
        <f>(M614*P614)</f>
        <v>256.48</v>
      </c>
      <c r="W614" s="744"/>
      <c r="AE614" s="283" t="str">
        <f t="shared" si="83"/>
        <v>|</v>
      </c>
      <c r="AG614" s="374" t="s">
        <v>2259</v>
      </c>
    </row>
    <row r="615" spans="1:33" ht="24" customHeight="1">
      <c r="A615" s="792">
        <f t="shared" si="80"/>
        <v>421</v>
      </c>
      <c r="B615" s="374" t="s">
        <v>785</v>
      </c>
      <c r="C615" s="283">
        <v>805</v>
      </c>
      <c r="D615" s="374" t="s">
        <v>783</v>
      </c>
      <c r="H615" s="374" t="s">
        <v>2232</v>
      </c>
      <c r="I615" s="283">
        <f>K614</f>
        <v>2082.23</v>
      </c>
      <c r="J615" s="374">
        <f>C23*0.04</f>
        <v>9.44</v>
      </c>
      <c r="K615" s="751">
        <f>(K614+C24*0.04)</f>
        <v>2091.67</v>
      </c>
      <c r="O615" s="374" t="s">
        <v>288</v>
      </c>
      <c r="R615" s="374" t="s">
        <v>975</v>
      </c>
      <c r="W615" s="744"/>
      <c r="AE615" s="283" t="str">
        <f t="shared" si="83"/>
        <v>|</v>
      </c>
      <c r="AG615" s="374" t="s">
        <v>2259</v>
      </c>
    </row>
    <row r="616" spans="1:33" ht="24" customHeight="1">
      <c r="A616" s="792">
        <f t="shared" si="80"/>
        <v>422</v>
      </c>
      <c r="B616" s="374" t="s">
        <v>2065</v>
      </c>
      <c r="C616" s="283">
        <f>204+53</f>
        <v>257</v>
      </c>
      <c r="D616" s="374" t="s">
        <v>783</v>
      </c>
      <c r="H616" s="374" t="s">
        <v>380</v>
      </c>
      <c r="I616" s="283">
        <f>K615</f>
        <v>2091.67</v>
      </c>
      <c r="J616" s="374">
        <f>C23*0.04</f>
        <v>9.44</v>
      </c>
      <c r="K616" s="751">
        <f>(K615+C24*0.04)</f>
        <v>2101.11</v>
      </c>
      <c r="N616" s="374" t="s">
        <v>449</v>
      </c>
      <c r="O616" s="374" t="s">
        <v>340</v>
      </c>
      <c r="Q616" s="374" t="s">
        <v>449</v>
      </c>
      <c r="R616" s="283">
        <v>2</v>
      </c>
      <c r="W616" s="744"/>
      <c r="AE616" s="283" t="str">
        <f t="shared" si="83"/>
        <v>|</v>
      </c>
      <c r="AG616" s="374" t="s">
        <v>2259</v>
      </c>
    </row>
    <row r="617" spans="1:33" ht="24" customHeight="1">
      <c r="A617" s="792">
        <f t="shared" si="80"/>
        <v>423</v>
      </c>
      <c r="B617" s="374" t="s">
        <v>1061</v>
      </c>
      <c r="C617" s="283">
        <v>53</v>
      </c>
      <c r="D617" s="374" t="s">
        <v>769</v>
      </c>
      <c r="H617" s="374" t="s">
        <v>1364</v>
      </c>
      <c r="I617" s="283">
        <f>K616</f>
        <v>2101.11</v>
      </c>
      <c r="J617" s="374">
        <f>C24*0.04</f>
        <v>9.44</v>
      </c>
      <c r="K617" s="751">
        <f>(K616+C24*0.04)</f>
        <v>2110.5500000000002</v>
      </c>
      <c r="R617" s="748" t="s">
        <v>1586</v>
      </c>
      <c r="W617" s="744"/>
      <c r="AE617" s="283" t="str">
        <f t="shared" si="83"/>
        <v>|</v>
      </c>
      <c r="AG617" s="374" t="s">
        <v>2259</v>
      </c>
    </row>
    <row r="618" spans="1:33" ht="24" customHeight="1">
      <c r="A618" s="792">
        <f t="shared" si="80"/>
        <v>424</v>
      </c>
      <c r="B618" s="374" t="s">
        <v>5858</v>
      </c>
      <c r="C618" s="283">
        <v>1672</v>
      </c>
      <c r="D618" s="374" t="s">
        <v>769</v>
      </c>
      <c r="F618" s="765">
        <v>15.1</v>
      </c>
      <c r="G618" s="283" t="s">
        <v>1757</v>
      </c>
      <c r="H618" s="374" t="s">
        <v>6094</v>
      </c>
      <c r="O618" s="374" t="s">
        <v>1751</v>
      </c>
      <c r="R618" s="283">
        <f>SUM(R609:R616)</f>
        <v>7186.73</v>
      </c>
      <c r="W618" s="744"/>
      <c r="AE618" s="283" t="str">
        <f t="shared" si="83"/>
        <v>|</v>
      </c>
      <c r="AG618" s="374" t="s">
        <v>2259</v>
      </c>
    </row>
    <row r="619" spans="1:33" ht="24" customHeight="1">
      <c r="A619" s="792">
        <f t="shared" si="80"/>
        <v>425</v>
      </c>
      <c r="B619" s="374" t="s">
        <v>406</v>
      </c>
      <c r="C619" s="283">
        <v>196</v>
      </c>
      <c r="D619" s="374" t="s">
        <v>769</v>
      </c>
      <c r="H619" s="374" t="s">
        <v>2281</v>
      </c>
      <c r="R619" s="748" t="s">
        <v>1586</v>
      </c>
      <c r="W619" s="744"/>
      <c r="AE619" s="283" t="str">
        <f t="shared" si="83"/>
        <v>|</v>
      </c>
      <c r="AG619" s="374" t="s">
        <v>2259</v>
      </c>
    </row>
    <row r="620" spans="1:33" ht="24" customHeight="1">
      <c r="A620" s="792">
        <f t="shared" si="80"/>
        <v>426</v>
      </c>
      <c r="B620" s="374" t="s">
        <v>5294</v>
      </c>
      <c r="C620" s="283">
        <v>940</v>
      </c>
      <c r="D620" s="374" t="s">
        <v>769</v>
      </c>
      <c r="F620" s="283">
        <v>10</v>
      </c>
      <c r="G620" s="283" t="s">
        <v>2283</v>
      </c>
      <c r="H620" s="374" t="s">
        <v>4080</v>
      </c>
      <c r="I620" s="283">
        <f>C752</f>
        <v>376.7</v>
      </c>
      <c r="J620" s="374" t="s">
        <v>2283</v>
      </c>
      <c r="K620" s="283">
        <f>(F620*I620)</f>
        <v>3767</v>
      </c>
      <c r="N620" s="374" t="s">
        <v>2251</v>
      </c>
      <c r="O620" s="374" t="s">
        <v>409</v>
      </c>
      <c r="W620" s="744"/>
      <c r="AE620" s="283" t="str">
        <f t="shared" si="83"/>
        <v>|</v>
      </c>
      <c r="AG620" s="374" t="s">
        <v>2259</v>
      </c>
    </row>
    <row r="621" spans="1:33" ht="24" customHeight="1">
      <c r="A621" s="792">
        <f t="shared" si="80"/>
        <v>427</v>
      </c>
      <c r="B621" s="374" t="s">
        <v>410</v>
      </c>
      <c r="C621" s="283">
        <v>193.05</v>
      </c>
      <c r="D621" s="374">
        <v>120.54</v>
      </c>
      <c r="F621" s="283">
        <v>0.12</v>
      </c>
      <c r="G621" s="283" t="s">
        <v>869</v>
      </c>
      <c r="H621" s="374" t="s">
        <v>784</v>
      </c>
      <c r="I621" s="283">
        <f>K32</f>
        <v>5089.26</v>
      </c>
      <c r="J621" s="374" t="s">
        <v>869</v>
      </c>
      <c r="K621" s="283">
        <f>(F621*I621)</f>
        <v>610.71</v>
      </c>
      <c r="O621" s="374" t="s">
        <v>412</v>
      </c>
      <c r="W621" s="744"/>
      <c r="AE621" s="283" t="str">
        <f t="shared" si="83"/>
        <v>|</v>
      </c>
      <c r="AG621" s="374" t="s">
        <v>2259</v>
      </c>
    </row>
    <row r="622" spans="1:33" ht="24" customHeight="1">
      <c r="A622" s="792">
        <f t="shared" si="80"/>
        <v>428</v>
      </c>
      <c r="B622" s="374" t="s">
        <v>413</v>
      </c>
      <c r="C622" s="283">
        <v>115.85</v>
      </c>
      <c r="D622" s="374" t="s">
        <v>1771</v>
      </c>
      <c r="F622" s="283">
        <v>1</v>
      </c>
      <c r="G622" s="283" t="s">
        <v>560</v>
      </c>
      <c r="H622" s="374" t="s">
        <v>561</v>
      </c>
      <c r="I622" s="283">
        <f>C10</f>
        <v>999</v>
      </c>
      <c r="J622" s="374" t="s">
        <v>1398</v>
      </c>
      <c r="K622" s="283">
        <f>(F622*I622)</f>
        <v>999</v>
      </c>
      <c r="O622" s="748" t="s">
        <v>1586</v>
      </c>
      <c r="W622" s="744"/>
      <c r="AE622" s="283" t="str">
        <f t="shared" si="83"/>
        <v>|</v>
      </c>
      <c r="AG622" s="374" t="s">
        <v>2259</v>
      </c>
    </row>
    <row r="623" spans="1:33" ht="24" customHeight="1">
      <c r="A623" s="792">
        <f t="shared" si="80"/>
        <v>429</v>
      </c>
      <c r="B623" s="374" t="s">
        <v>414</v>
      </c>
      <c r="D623" s="374" t="s">
        <v>1771</v>
      </c>
      <c r="F623" s="283">
        <v>1</v>
      </c>
      <c r="G623" s="283" t="s">
        <v>560</v>
      </c>
      <c r="H623" s="374" t="s">
        <v>823</v>
      </c>
      <c r="I623" s="283">
        <f>C12</f>
        <v>651</v>
      </c>
      <c r="J623" s="374" t="s">
        <v>1398</v>
      </c>
      <c r="K623" s="283">
        <f>(F623*I623)</f>
        <v>651</v>
      </c>
      <c r="M623" s="283">
        <v>10.37</v>
      </c>
      <c r="N623" s="374" t="s">
        <v>869</v>
      </c>
      <c r="O623" s="374" t="s">
        <v>415</v>
      </c>
      <c r="P623" s="283">
        <f>(C62*2)</f>
        <v>224.1</v>
      </c>
      <c r="Q623" s="374" t="s">
        <v>869</v>
      </c>
      <c r="R623" s="283">
        <f t="shared" ref="R623:R631" si="84">(M623*P623)</f>
        <v>2323.92</v>
      </c>
      <c r="W623" s="744"/>
      <c r="AE623" s="283" t="str">
        <f t="shared" si="83"/>
        <v>|</v>
      </c>
      <c r="AG623" s="374" t="s">
        <v>2259</v>
      </c>
    </row>
    <row r="624" spans="1:33" ht="24" customHeight="1">
      <c r="A624" s="792">
        <f t="shared" si="80"/>
        <v>430</v>
      </c>
      <c r="B624" s="374" t="s">
        <v>6513</v>
      </c>
      <c r="C624" s="283">
        <v>76</v>
      </c>
      <c r="D624" s="374" t="s">
        <v>868</v>
      </c>
      <c r="G624" s="283" t="s">
        <v>449</v>
      </c>
      <c r="H624" s="374" t="s">
        <v>59</v>
      </c>
      <c r="J624" s="374" t="s">
        <v>449</v>
      </c>
      <c r="K624" s="283">
        <v>0.33</v>
      </c>
      <c r="M624" s="283">
        <v>0.65</v>
      </c>
      <c r="N624" s="374" t="s">
        <v>869</v>
      </c>
      <c r="O624" s="374" t="s">
        <v>2064</v>
      </c>
      <c r="P624" s="283">
        <f>R61</f>
        <v>4278.7700000000004</v>
      </c>
      <c r="Q624" s="374" t="s">
        <v>869</v>
      </c>
      <c r="R624" s="283">
        <f t="shared" si="84"/>
        <v>2781.2</v>
      </c>
      <c r="W624" s="744"/>
      <c r="AE624" s="283" t="str">
        <f t="shared" si="83"/>
        <v>|</v>
      </c>
      <c r="AG624" s="374" t="s">
        <v>2259</v>
      </c>
    </row>
    <row r="625" spans="1:33" ht="24" customHeight="1">
      <c r="A625" s="792">
        <f t="shared" si="80"/>
        <v>431</v>
      </c>
      <c r="B625" s="374" t="s">
        <v>1782</v>
      </c>
      <c r="C625" s="283">
        <v>45</v>
      </c>
      <c r="D625" s="374" t="s">
        <v>868</v>
      </c>
      <c r="H625" s="374" t="s">
        <v>931</v>
      </c>
      <c r="K625" s="748" t="s">
        <v>1586</v>
      </c>
      <c r="M625" s="283">
        <v>1.1399999999999999</v>
      </c>
      <c r="N625" s="374" t="s">
        <v>869</v>
      </c>
      <c r="O625" s="374" t="s">
        <v>326</v>
      </c>
      <c r="P625" s="283">
        <f>K322</f>
        <v>6718.36</v>
      </c>
      <c r="Q625" s="374" t="s">
        <v>869</v>
      </c>
      <c r="R625" s="283">
        <f t="shared" si="84"/>
        <v>7658.93</v>
      </c>
      <c r="W625" s="744"/>
      <c r="AE625" s="283" t="str">
        <f t="shared" si="83"/>
        <v>|</v>
      </c>
      <c r="AG625" s="374" t="s">
        <v>2259</v>
      </c>
    </row>
    <row r="626" spans="1:33" ht="24" customHeight="1">
      <c r="A626" s="792">
        <f t="shared" si="80"/>
        <v>432</v>
      </c>
      <c r="B626" s="374" t="s">
        <v>328</v>
      </c>
      <c r="C626" s="283">
        <v>34.299999999999997</v>
      </c>
      <c r="D626" s="374" t="s">
        <v>868</v>
      </c>
      <c r="H626" s="744" t="s">
        <v>407</v>
      </c>
      <c r="K626" s="283">
        <f>SUM(K620:K624)</f>
        <v>6028.04</v>
      </c>
      <c r="M626" s="283">
        <v>0.85</v>
      </c>
      <c r="N626" s="374" t="s">
        <v>869</v>
      </c>
      <c r="O626" s="374" t="s">
        <v>1608</v>
      </c>
      <c r="P626" s="283">
        <f>K322-K313/10</f>
        <v>5735.97</v>
      </c>
      <c r="Q626" s="374" t="s">
        <v>869</v>
      </c>
      <c r="R626" s="283">
        <f t="shared" si="84"/>
        <v>4875.57</v>
      </c>
      <c r="W626" s="744"/>
      <c r="AE626" s="283">
        <f t="shared" si="83"/>
        <v>0</v>
      </c>
      <c r="AG626" s="374"/>
    </row>
    <row r="627" spans="1:33" ht="24" customHeight="1">
      <c r="A627" s="792">
        <f t="shared" si="80"/>
        <v>433</v>
      </c>
      <c r="B627" s="374" t="s">
        <v>5859</v>
      </c>
      <c r="C627" s="283">
        <v>83.4</v>
      </c>
      <c r="D627" s="374" t="s">
        <v>868</v>
      </c>
      <c r="K627" s="748" t="s">
        <v>1586</v>
      </c>
      <c r="M627" s="283">
        <v>0.98</v>
      </c>
      <c r="N627" s="374" t="s">
        <v>869</v>
      </c>
      <c r="O627" s="374" t="s">
        <v>2218</v>
      </c>
      <c r="P627" s="283">
        <f>(C74)</f>
        <v>1582.2</v>
      </c>
      <c r="Q627" s="374" t="s">
        <v>869</v>
      </c>
      <c r="R627" s="283">
        <f t="shared" si="84"/>
        <v>1550.56</v>
      </c>
      <c r="W627" s="744"/>
      <c r="AE627" s="283" t="str">
        <f t="shared" si="83"/>
        <v>|</v>
      </c>
      <c r="AG627" s="374" t="s">
        <v>2259</v>
      </c>
    </row>
    <row r="628" spans="1:33" ht="24" customHeight="1">
      <c r="A628" s="792">
        <f t="shared" si="80"/>
        <v>434</v>
      </c>
      <c r="B628" s="374" t="s">
        <v>1094</v>
      </c>
      <c r="C628" s="283">
        <v>36.520000000000003</v>
      </c>
      <c r="D628" s="374" t="s">
        <v>868</v>
      </c>
      <c r="H628" s="744" t="s">
        <v>411</v>
      </c>
      <c r="K628" s="283">
        <f>K626/10</f>
        <v>602.79999999999995</v>
      </c>
      <c r="M628" s="283">
        <v>2.68</v>
      </c>
      <c r="N628" s="374" t="s">
        <v>869</v>
      </c>
      <c r="O628" s="374" t="s">
        <v>1034</v>
      </c>
      <c r="P628" s="283">
        <f>(C80)</f>
        <v>2074.06</v>
      </c>
      <c r="Q628" s="374" t="s">
        <v>869</v>
      </c>
      <c r="R628" s="283">
        <f t="shared" si="84"/>
        <v>5558.48</v>
      </c>
      <c r="W628" s="744"/>
      <c r="AE628" s="283" t="str">
        <f t="shared" si="83"/>
        <v>|</v>
      </c>
      <c r="AG628" s="374" t="s">
        <v>2259</v>
      </c>
    </row>
    <row r="629" spans="1:33" ht="24" customHeight="1">
      <c r="A629" s="792">
        <f t="shared" si="80"/>
        <v>435</v>
      </c>
      <c r="B629" s="374" t="s">
        <v>1611</v>
      </c>
      <c r="D629" s="374" t="s">
        <v>868</v>
      </c>
      <c r="H629" s="374" t="s">
        <v>386</v>
      </c>
      <c r="I629" s="283">
        <f>K628</f>
        <v>602.79999999999995</v>
      </c>
      <c r="J629" s="374">
        <f>C22*0.02</f>
        <v>2.4</v>
      </c>
      <c r="K629" s="751">
        <f>I629+J629</f>
        <v>605.20000000000005</v>
      </c>
      <c r="M629" s="283">
        <v>7.24</v>
      </c>
      <c r="N629" s="374" t="s">
        <v>609</v>
      </c>
      <c r="O629" s="374" t="s">
        <v>1613</v>
      </c>
      <c r="P629" s="283">
        <f>(K1401)</f>
        <v>256.69</v>
      </c>
      <c r="Q629" s="374" t="s">
        <v>609</v>
      </c>
      <c r="R629" s="283">
        <f t="shared" si="84"/>
        <v>1858.44</v>
      </c>
      <c r="W629" s="744"/>
      <c r="AE629" s="283" t="str">
        <f t="shared" si="83"/>
        <v>|</v>
      </c>
      <c r="AG629" s="374" t="s">
        <v>2259</v>
      </c>
    </row>
    <row r="630" spans="1:33" ht="24" customHeight="1">
      <c r="A630" s="792">
        <f t="shared" si="80"/>
        <v>436</v>
      </c>
      <c r="B630" s="374" t="s">
        <v>4583</v>
      </c>
      <c r="C630" s="283">
        <v>104.1</v>
      </c>
      <c r="D630" s="283">
        <v>93.72</v>
      </c>
      <c r="H630" s="374" t="s">
        <v>388</v>
      </c>
      <c r="I630" s="283">
        <f>K629</f>
        <v>605.20000000000005</v>
      </c>
      <c r="J630" s="374">
        <f>C23*0.02</f>
        <v>4.72</v>
      </c>
      <c r="K630" s="751">
        <f>I630+J630</f>
        <v>609.91999999999996</v>
      </c>
      <c r="M630" s="283">
        <v>1</v>
      </c>
      <c r="N630" s="374" t="s">
        <v>868</v>
      </c>
      <c r="O630" s="374" t="s">
        <v>1476</v>
      </c>
      <c r="P630" s="283">
        <f>(C204)</f>
        <v>128</v>
      </c>
      <c r="Q630" s="374" t="s">
        <v>868</v>
      </c>
      <c r="R630" s="283">
        <f t="shared" si="84"/>
        <v>128</v>
      </c>
      <c r="W630" s="744"/>
      <c r="AE630" s="283" t="str">
        <f t="shared" si="83"/>
        <v>|</v>
      </c>
      <c r="AG630" s="374" t="s">
        <v>2259</v>
      </c>
    </row>
    <row r="631" spans="1:33" ht="24" customHeight="1">
      <c r="A631" s="792">
        <f t="shared" si="80"/>
        <v>437</v>
      </c>
      <c r="B631" s="374" t="s">
        <v>1477</v>
      </c>
      <c r="C631" s="283">
        <v>69.599999999999994</v>
      </c>
      <c r="D631" s="374" t="s">
        <v>868</v>
      </c>
      <c r="H631" s="374" t="s">
        <v>2232</v>
      </c>
      <c r="I631" s="283">
        <f>K630</f>
        <v>609.91999999999996</v>
      </c>
      <c r="J631" s="374">
        <f>J630</f>
        <v>4.72</v>
      </c>
      <c r="K631" s="751">
        <f>I631+J631</f>
        <v>614.64</v>
      </c>
      <c r="M631" s="746">
        <v>0.13600000000000001</v>
      </c>
      <c r="N631" s="374" t="s">
        <v>869</v>
      </c>
      <c r="O631" s="374" t="s">
        <v>983</v>
      </c>
      <c r="P631" s="283">
        <f>(K644)</f>
        <v>8015</v>
      </c>
      <c r="Q631" s="374" t="s">
        <v>869</v>
      </c>
      <c r="R631" s="283">
        <f t="shared" si="84"/>
        <v>1090.04</v>
      </c>
      <c r="W631" s="744"/>
      <c r="AE631" s="283" t="str">
        <f t="shared" si="83"/>
        <v>|</v>
      </c>
      <c r="AG631" s="374" t="s">
        <v>2259</v>
      </c>
    </row>
    <row r="632" spans="1:33" ht="24" customHeight="1">
      <c r="A632" s="792">
        <f t="shared" si="80"/>
        <v>438</v>
      </c>
      <c r="B632" s="374" t="s">
        <v>984</v>
      </c>
      <c r="C632" s="283">
        <v>30.25</v>
      </c>
      <c r="D632" s="374" t="s">
        <v>868</v>
      </c>
      <c r="H632" s="374" t="s">
        <v>380</v>
      </c>
      <c r="I632" s="283">
        <f>K631</f>
        <v>614.64</v>
      </c>
      <c r="J632" s="374">
        <f>J631</f>
        <v>4.72</v>
      </c>
      <c r="K632" s="751">
        <f>I632+J632</f>
        <v>619.36</v>
      </c>
      <c r="O632" s="374" t="s">
        <v>128</v>
      </c>
      <c r="W632" s="744"/>
      <c r="AE632" s="283" t="str">
        <f t="shared" si="83"/>
        <v>|</v>
      </c>
      <c r="AG632" s="374" t="s">
        <v>2259</v>
      </c>
    </row>
    <row r="633" spans="1:33" ht="24" customHeight="1">
      <c r="A633" s="792">
        <f t="shared" si="80"/>
        <v>439</v>
      </c>
      <c r="B633" s="374" t="s">
        <v>4584</v>
      </c>
      <c r="C633" s="283">
        <v>167.1</v>
      </c>
      <c r="D633" s="374" t="s">
        <v>868</v>
      </c>
      <c r="H633" s="374" t="s">
        <v>1364</v>
      </c>
      <c r="I633" s="283">
        <f>K632</f>
        <v>619.36</v>
      </c>
      <c r="J633" s="374">
        <f>J632</f>
        <v>4.72</v>
      </c>
      <c r="K633" s="751">
        <f>I633+J633</f>
        <v>624.08000000000004</v>
      </c>
      <c r="N633" s="374" t="s">
        <v>449</v>
      </c>
      <c r="O633" s="374" t="s">
        <v>340</v>
      </c>
      <c r="Q633" s="374" t="s">
        <v>449</v>
      </c>
      <c r="R633" s="283">
        <v>2.2400000000000002</v>
      </c>
      <c r="W633" s="744"/>
      <c r="AE633" s="283" t="str">
        <f t="shared" si="83"/>
        <v>|</v>
      </c>
      <c r="AG633" s="374" t="s">
        <v>2259</v>
      </c>
    </row>
    <row r="634" spans="1:33" ht="24" customHeight="1">
      <c r="A634" s="792">
        <f t="shared" si="80"/>
        <v>440</v>
      </c>
      <c r="B634" s="374" t="s">
        <v>1484</v>
      </c>
      <c r="C634" s="283">
        <v>104.1</v>
      </c>
      <c r="D634" s="374" t="s">
        <v>868</v>
      </c>
      <c r="F634" s="744" t="s">
        <v>1610</v>
      </c>
      <c r="G634" s="283" t="s">
        <v>2251</v>
      </c>
      <c r="H634" s="374" t="s">
        <v>882</v>
      </c>
      <c r="R634" s="748" t="s">
        <v>1586</v>
      </c>
      <c r="W634" s="744"/>
      <c r="AE634" s="283" t="str">
        <f t="shared" si="83"/>
        <v>|</v>
      </c>
      <c r="AG634" s="374" t="s">
        <v>2259</v>
      </c>
    </row>
    <row r="635" spans="1:33" ht="24" customHeight="1">
      <c r="A635" s="792">
        <f t="shared" si="80"/>
        <v>441</v>
      </c>
      <c r="B635" s="374" t="s">
        <v>1485</v>
      </c>
      <c r="D635" s="374" t="s">
        <v>868</v>
      </c>
      <c r="H635" s="374" t="s">
        <v>1095</v>
      </c>
      <c r="O635" s="374" t="s">
        <v>1751</v>
      </c>
      <c r="R635" s="283">
        <f>SUM(R623:R633)</f>
        <v>27827.38</v>
      </c>
      <c r="W635" s="744"/>
      <c r="AE635" s="283" t="str">
        <f t="shared" si="83"/>
        <v>|</v>
      </c>
      <c r="AG635" s="374" t="s">
        <v>2259</v>
      </c>
    </row>
    <row r="636" spans="1:33" ht="24" customHeight="1">
      <c r="A636" s="792">
        <f t="shared" si="80"/>
        <v>442</v>
      </c>
      <c r="B636" s="374" t="s">
        <v>4585</v>
      </c>
      <c r="C636" s="283">
        <v>195.2</v>
      </c>
      <c r="D636" s="374" t="s">
        <v>868</v>
      </c>
      <c r="H636" s="374" t="s">
        <v>1612</v>
      </c>
      <c r="R636" s="748" t="s">
        <v>1586</v>
      </c>
      <c r="W636" s="744"/>
      <c r="AE636" s="283" t="str">
        <f t="shared" si="83"/>
        <v>|</v>
      </c>
      <c r="AG636" s="374" t="s">
        <v>2259</v>
      </c>
    </row>
    <row r="637" spans="1:33" ht="24" customHeight="1">
      <c r="A637" s="792">
        <f t="shared" si="80"/>
        <v>443</v>
      </c>
      <c r="B637" s="374" t="s">
        <v>435</v>
      </c>
      <c r="C637" s="283">
        <v>125.2</v>
      </c>
      <c r="D637" s="374" t="s">
        <v>868</v>
      </c>
      <c r="H637" s="748" t="s">
        <v>1586</v>
      </c>
      <c r="N637" s="374" t="s">
        <v>2251</v>
      </c>
      <c r="O637" s="374" t="s">
        <v>436</v>
      </c>
      <c r="W637" s="744"/>
      <c r="AE637" s="283" t="str">
        <f t="shared" si="83"/>
        <v>|</v>
      </c>
      <c r="AG637" s="374" t="s">
        <v>2259</v>
      </c>
    </row>
    <row r="638" spans="1:33" ht="24" customHeight="1">
      <c r="F638" s="283">
        <v>0.01</v>
      </c>
      <c r="G638" s="283" t="s">
        <v>869</v>
      </c>
      <c r="H638" s="374" t="s">
        <v>1478</v>
      </c>
      <c r="I638" s="283">
        <f>(K281)</f>
        <v>7900.17</v>
      </c>
      <c r="J638" s="374" t="s">
        <v>869</v>
      </c>
      <c r="K638" s="283">
        <f>(F638*I638)</f>
        <v>79</v>
      </c>
      <c r="W638" s="744"/>
      <c r="AE638" s="283" t="str">
        <f t="shared" si="83"/>
        <v>|</v>
      </c>
      <c r="AG638" s="374" t="s">
        <v>2259</v>
      </c>
    </row>
    <row r="639" spans="1:33" ht="24" customHeight="1">
      <c r="A639" s="792">
        <f>(A637+1)</f>
        <v>444</v>
      </c>
      <c r="B639" s="374" t="s">
        <v>1099</v>
      </c>
      <c r="D639" s="374" t="s">
        <v>868</v>
      </c>
      <c r="F639" s="283">
        <v>0.01</v>
      </c>
      <c r="G639" s="283" t="s">
        <v>869</v>
      </c>
      <c r="H639" s="374" t="s">
        <v>985</v>
      </c>
      <c r="J639" s="374" t="s">
        <v>449</v>
      </c>
      <c r="K639" s="283">
        <v>1.1499999999999999</v>
      </c>
      <c r="O639" s="374" t="s">
        <v>1100</v>
      </c>
      <c r="S639" s="744" t="s">
        <v>163</v>
      </c>
      <c r="T639" s="283" t="s">
        <v>2251</v>
      </c>
      <c r="U639" s="745" t="s">
        <v>3995</v>
      </c>
      <c r="W639" s="744"/>
      <c r="AA639" s="744" t="s">
        <v>163</v>
      </c>
      <c r="AB639" s="283" t="s">
        <v>2251</v>
      </c>
      <c r="AC639" s="745" t="s">
        <v>4137</v>
      </c>
      <c r="AE639" s="374"/>
    </row>
    <row r="640" spans="1:33" ht="24" customHeight="1">
      <c r="A640" s="792">
        <f t="shared" ref="A640:A703" si="85">(A639+1)</f>
        <v>445</v>
      </c>
      <c r="B640" s="374" t="s">
        <v>4257</v>
      </c>
      <c r="C640" s="283">
        <v>298.60000000000002</v>
      </c>
      <c r="D640" s="374" t="s">
        <v>868</v>
      </c>
      <c r="H640" s="374" t="s">
        <v>130</v>
      </c>
      <c r="O640" s="748" t="s">
        <v>1586</v>
      </c>
      <c r="S640" s="283"/>
      <c r="U640" s="374" t="s">
        <v>1383</v>
      </c>
      <c r="W640" s="744"/>
      <c r="AC640" s="374" t="s">
        <v>1383</v>
      </c>
      <c r="AE640" s="374"/>
    </row>
    <row r="641" spans="1:32" ht="24" customHeight="1">
      <c r="A641" s="792">
        <f t="shared" si="85"/>
        <v>446</v>
      </c>
      <c r="B641" s="374" t="s">
        <v>1652</v>
      </c>
      <c r="C641" s="283">
        <v>208.1</v>
      </c>
      <c r="D641" s="374" t="s">
        <v>868</v>
      </c>
      <c r="K641" s="748" t="s">
        <v>1586</v>
      </c>
      <c r="M641" s="283">
        <v>3</v>
      </c>
      <c r="N641" s="374" t="s">
        <v>869</v>
      </c>
      <c r="O641" s="374" t="s">
        <v>1654</v>
      </c>
      <c r="P641" s="283">
        <f>(C62*2)</f>
        <v>224.1</v>
      </c>
      <c r="Q641" s="374" t="s">
        <v>869</v>
      </c>
      <c r="R641" s="283">
        <f>(M641*P641)</f>
        <v>672.3</v>
      </c>
      <c r="S641" s="283"/>
      <c r="U641" s="374" t="s">
        <v>132</v>
      </c>
      <c r="W641" s="744"/>
      <c r="AC641" s="374" t="s">
        <v>132</v>
      </c>
      <c r="AE641" s="374"/>
    </row>
    <row r="642" spans="1:32" ht="24" customHeight="1">
      <c r="A642" s="792">
        <f t="shared" si="85"/>
        <v>447</v>
      </c>
      <c r="B642" s="374" t="s">
        <v>622</v>
      </c>
      <c r="D642" s="374" t="s">
        <v>868</v>
      </c>
      <c r="H642" s="374" t="s">
        <v>1486</v>
      </c>
      <c r="K642" s="283">
        <f>SUM(K638:K640)</f>
        <v>80.150000000000006</v>
      </c>
      <c r="M642" s="283">
        <v>2.4</v>
      </c>
      <c r="N642" s="374" t="s">
        <v>869</v>
      </c>
      <c r="O642" s="374" t="s">
        <v>1633</v>
      </c>
      <c r="P642" s="283">
        <f>(C82)</f>
        <v>812.26</v>
      </c>
      <c r="Q642" s="374" t="s">
        <v>869</v>
      </c>
      <c r="R642" s="283">
        <f>(M642*P642)</f>
        <v>1949.42</v>
      </c>
      <c r="S642" s="283"/>
      <c r="U642" s="748" t="s">
        <v>1586</v>
      </c>
      <c r="W642" s="744"/>
      <c r="AC642" s="748" t="s">
        <v>1586</v>
      </c>
      <c r="AE642" s="374"/>
    </row>
    <row r="643" spans="1:32" ht="24" customHeight="1">
      <c r="A643" s="792">
        <f t="shared" si="85"/>
        <v>448</v>
      </c>
      <c r="B643" s="374" t="s">
        <v>4587</v>
      </c>
      <c r="C643" s="283">
        <v>159.9</v>
      </c>
      <c r="D643" s="374" t="s">
        <v>868</v>
      </c>
      <c r="K643" s="748" t="s">
        <v>1586</v>
      </c>
      <c r="M643" s="283">
        <v>5</v>
      </c>
      <c r="N643" s="374" t="s">
        <v>868</v>
      </c>
      <c r="O643" s="374" t="s">
        <v>607</v>
      </c>
      <c r="P643" s="283">
        <f>(C205)</f>
        <v>63.4</v>
      </c>
      <c r="Q643" s="374" t="s">
        <v>868</v>
      </c>
      <c r="R643" s="283">
        <f>(M643*P643)</f>
        <v>317</v>
      </c>
      <c r="S643" s="746">
        <v>8.3000000000000007</v>
      </c>
      <c r="T643" s="283" t="s">
        <v>869</v>
      </c>
      <c r="U643" s="374" t="s">
        <v>3996</v>
      </c>
      <c r="V643" s="283">
        <f>AC11</f>
        <v>866.87</v>
      </c>
      <c r="W643" s="744" t="s">
        <v>869</v>
      </c>
      <c r="X643" s="283">
        <f t="shared" ref="X643:X649" si="86">S643*V643</f>
        <v>7195.02</v>
      </c>
      <c r="AA643" s="746">
        <v>8.3000000000000007</v>
      </c>
      <c r="AB643" s="283" t="s">
        <v>869</v>
      </c>
      <c r="AC643" s="374" t="s">
        <v>3996</v>
      </c>
      <c r="AD643" s="283">
        <f>V643</f>
        <v>866.87</v>
      </c>
      <c r="AE643" s="374" t="s">
        <v>869</v>
      </c>
      <c r="AF643" s="283">
        <f t="shared" ref="AF643:AF649" si="87">AA643*AD643</f>
        <v>7195.02</v>
      </c>
    </row>
    <row r="644" spans="1:32" ht="24" customHeight="1">
      <c r="A644" s="792">
        <f t="shared" si="85"/>
        <v>449</v>
      </c>
      <c r="B644" s="374" t="s">
        <v>1773</v>
      </c>
      <c r="C644" s="283">
        <v>97.3</v>
      </c>
      <c r="D644" s="374" t="s">
        <v>868</v>
      </c>
      <c r="H644" s="374" t="s">
        <v>773</v>
      </c>
      <c r="K644" s="283">
        <f>ROUND(K642*100,0)</f>
        <v>8015</v>
      </c>
      <c r="O644" s="374" t="s">
        <v>450</v>
      </c>
      <c r="Q644" s="374" t="s">
        <v>449</v>
      </c>
      <c r="R644" s="283">
        <v>0.08</v>
      </c>
      <c r="S644" s="746">
        <v>3.25</v>
      </c>
      <c r="T644" s="283" t="s">
        <v>861</v>
      </c>
      <c r="U644" s="374" t="s">
        <v>862</v>
      </c>
      <c r="V644" s="283">
        <f>I809</f>
        <v>6040</v>
      </c>
      <c r="W644" s="744" t="s">
        <v>861</v>
      </c>
      <c r="X644" s="283">
        <f t="shared" si="86"/>
        <v>19630</v>
      </c>
      <c r="AA644" s="746">
        <v>4</v>
      </c>
      <c r="AB644" s="283" t="s">
        <v>861</v>
      </c>
      <c r="AC644" s="374" t="s">
        <v>862</v>
      </c>
      <c r="AD644" s="283">
        <f t="shared" ref="AD644:AD649" si="88">V644</f>
        <v>6040</v>
      </c>
      <c r="AE644" s="374" t="s">
        <v>861</v>
      </c>
      <c r="AF644" s="283">
        <f t="shared" si="87"/>
        <v>24160</v>
      </c>
    </row>
    <row r="645" spans="1:32" ht="24" customHeight="1">
      <c r="A645" s="792">
        <f t="shared" si="85"/>
        <v>450</v>
      </c>
      <c r="B645" s="374" t="s">
        <v>1775</v>
      </c>
      <c r="D645" s="374" t="s">
        <v>868</v>
      </c>
      <c r="F645" s="374" t="s">
        <v>975</v>
      </c>
      <c r="R645" s="748" t="s">
        <v>1586</v>
      </c>
      <c r="S645" s="746">
        <v>4.79</v>
      </c>
      <c r="T645" s="283" t="s">
        <v>869</v>
      </c>
      <c r="U645" s="374" t="s">
        <v>870</v>
      </c>
      <c r="V645" s="283">
        <f>I810</f>
        <v>2074.06</v>
      </c>
      <c r="W645" s="744" t="s">
        <v>869</v>
      </c>
      <c r="X645" s="283">
        <f t="shared" si="86"/>
        <v>9934.75</v>
      </c>
      <c r="AA645" s="746">
        <v>4.79</v>
      </c>
      <c r="AB645" s="283" t="s">
        <v>869</v>
      </c>
      <c r="AC645" s="374" t="s">
        <v>870</v>
      </c>
      <c r="AD645" s="283">
        <f t="shared" si="88"/>
        <v>2074.06</v>
      </c>
      <c r="AE645" s="374" t="s">
        <v>869</v>
      </c>
      <c r="AF645" s="283">
        <f t="shared" si="87"/>
        <v>9934.75</v>
      </c>
    </row>
    <row r="646" spans="1:32" ht="24" customHeight="1">
      <c r="A646" s="792">
        <f t="shared" si="85"/>
        <v>451</v>
      </c>
      <c r="B646" s="374" t="s">
        <v>4586</v>
      </c>
      <c r="C646" s="283">
        <v>187.8</v>
      </c>
      <c r="D646" s="374" t="s">
        <v>868</v>
      </c>
      <c r="K646" s="748" t="s">
        <v>2055</v>
      </c>
      <c r="O646" s="374" t="s">
        <v>1751</v>
      </c>
      <c r="R646" s="283">
        <f>SUM(R641:R644)</f>
        <v>2938.8</v>
      </c>
      <c r="S646" s="746">
        <v>3.5</v>
      </c>
      <c r="T646" s="283" t="s">
        <v>868</v>
      </c>
      <c r="U646" s="374" t="s">
        <v>1712</v>
      </c>
      <c r="V646" s="283">
        <f>C11</f>
        <v>932</v>
      </c>
      <c r="W646" s="744" t="s">
        <v>868</v>
      </c>
      <c r="X646" s="283">
        <f t="shared" si="86"/>
        <v>3262</v>
      </c>
      <c r="AA646" s="746">
        <v>3.5</v>
      </c>
      <c r="AB646" s="283" t="s">
        <v>868</v>
      </c>
      <c r="AC646" s="374" t="s">
        <v>1712</v>
      </c>
      <c r="AD646" s="283">
        <f t="shared" si="88"/>
        <v>932</v>
      </c>
      <c r="AE646" s="374" t="s">
        <v>868</v>
      </c>
      <c r="AF646" s="283">
        <f t="shared" si="87"/>
        <v>3262</v>
      </c>
    </row>
    <row r="647" spans="1:32" ht="24" customHeight="1">
      <c r="A647" s="792">
        <f t="shared" si="85"/>
        <v>452</v>
      </c>
      <c r="B647" s="374" t="s">
        <v>1635</v>
      </c>
      <c r="C647" s="283">
        <v>125.2</v>
      </c>
      <c r="D647" s="374" t="s">
        <v>868</v>
      </c>
      <c r="G647" s="283" t="s">
        <v>675</v>
      </c>
      <c r="H647" s="374" t="s">
        <v>990</v>
      </c>
      <c r="R647" s="748" t="s">
        <v>1586</v>
      </c>
      <c r="S647" s="746">
        <v>21.2</v>
      </c>
      <c r="T647" s="283" t="s">
        <v>868</v>
      </c>
      <c r="U647" s="374" t="s">
        <v>1902</v>
      </c>
      <c r="V647" s="283">
        <f>C12</f>
        <v>651</v>
      </c>
      <c r="W647" s="744" t="s">
        <v>868</v>
      </c>
      <c r="X647" s="283">
        <f t="shared" si="86"/>
        <v>13801.2</v>
      </c>
      <c r="AA647" s="746">
        <v>21.2</v>
      </c>
      <c r="AB647" s="283" t="s">
        <v>868</v>
      </c>
      <c r="AC647" s="374" t="s">
        <v>1902</v>
      </c>
      <c r="AD647" s="283">
        <f t="shared" si="88"/>
        <v>651</v>
      </c>
      <c r="AE647" s="374" t="s">
        <v>868</v>
      </c>
      <c r="AF647" s="283">
        <f t="shared" si="87"/>
        <v>13801.2</v>
      </c>
    </row>
    <row r="648" spans="1:32" ht="24" customHeight="1">
      <c r="A648" s="792">
        <f t="shared" si="85"/>
        <v>453</v>
      </c>
      <c r="B648" s="374" t="s">
        <v>1636</v>
      </c>
      <c r="D648" s="374" t="s">
        <v>868</v>
      </c>
      <c r="H648" s="374" t="s">
        <v>1653</v>
      </c>
      <c r="S648" s="746">
        <v>35.299999999999997</v>
      </c>
      <c r="T648" s="283" t="s">
        <v>868</v>
      </c>
      <c r="U648" s="374" t="s">
        <v>320</v>
      </c>
      <c r="V648" s="283">
        <f>C13</f>
        <v>534</v>
      </c>
      <c r="W648" s="744" t="s">
        <v>868</v>
      </c>
      <c r="X648" s="283">
        <f t="shared" si="86"/>
        <v>18850.2</v>
      </c>
      <c r="AA648" s="746">
        <v>35.299999999999997</v>
      </c>
      <c r="AB648" s="283" t="s">
        <v>868</v>
      </c>
      <c r="AC648" s="374" t="s">
        <v>320</v>
      </c>
      <c r="AD648" s="283">
        <f t="shared" si="88"/>
        <v>534</v>
      </c>
      <c r="AE648" s="374" t="s">
        <v>868</v>
      </c>
      <c r="AF648" s="283">
        <f t="shared" si="87"/>
        <v>18850.2</v>
      </c>
    </row>
    <row r="649" spans="1:32" ht="24" customHeight="1">
      <c r="A649" s="792">
        <f t="shared" si="85"/>
        <v>454</v>
      </c>
      <c r="B649" s="374" t="s">
        <v>4588</v>
      </c>
      <c r="C649" s="283">
        <v>82.3</v>
      </c>
      <c r="D649" s="374" t="s">
        <v>868</v>
      </c>
      <c r="H649" s="748" t="s">
        <v>1586</v>
      </c>
      <c r="N649" s="374" t="s">
        <v>2251</v>
      </c>
      <c r="O649" s="374" t="s">
        <v>61</v>
      </c>
      <c r="S649" s="784">
        <v>19.5</v>
      </c>
      <c r="U649" s="374" t="s">
        <v>3997</v>
      </c>
      <c r="V649" s="283">
        <f>C150</f>
        <v>43.2</v>
      </c>
      <c r="W649" s="744" t="s">
        <v>449</v>
      </c>
      <c r="X649" s="283">
        <f t="shared" si="86"/>
        <v>842.4</v>
      </c>
      <c r="AA649" s="784">
        <v>40</v>
      </c>
      <c r="AC649" s="374" t="s">
        <v>3997</v>
      </c>
      <c r="AD649" s="283">
        <f t="shared" si="88"/>
        <v>43.2</v>
      </c>
      <c r="AE649" s="374" t="s">
        <v>449</v>
      </c>
      <c r="AF649" s="283">
        <f t="shared" si="87"/>
        <v>1728</v>
      </c>
    </row>
    <row r="650" spans="1:32" ht="24" customHeight="1">
      <c r="A650" s="792">
        <f t="shared" si="85"/>
        <v>455</v>
      </c>
      <c r="B650" s="374" t="s">
        <v>1960</v>
      </c>
      <c r="C650" s="283">
        <v>55.5</v>
      </c>
      <c r="D650" s="374" t="s">
        <v>868</v>
      </c>
      <c r="F650" s="746">
        <v>1.4E-2</v>
      </c>
      <c r="G650" s="283" t="s">
        <v>869</v>
      </c>
      <c r="H650" s="374" t="s">
        <v>1325</v>
      </c>
      <c r="I650" s="283">
        <f>(K644)</f>
        <v>8015</v>
      </c>
      <c r="J650" s="374" t="s">
        <v>869</v>
      </c>
      <c r="K650" s="283">
        <f>(F650*I650)</f>
        <v>112.21</v>
      </c>
      <c r="O650" s="374" t="s">
        <v>1961</v>
      </c>
      <c r="S650" s="283"/>
      <c r="W650" s="744"/>
      <c r="X650" s="748" t="s">
        <v>1586</v>
      </c>
      <c r="AE650" s="374"/>
      <c r="AF650" s="748" t="s">
        <v>1586</v>
      </c>
    </row>
    <row r="651" spans="1:32" ht="24" customHeight="1">
      <c r="A651" s="792">
        <f t="shared" si="85"/>
        <v>456</v>
      </c>
      <c r="B651" s="374" t="s">
        <v>1962</v>
      </c>
      <c r="C651" s="283">
        <v>34.4</v>
      </c>
      <c r="D651" s="374" t="s">
        <v>868</v>
      </c>
      <c r="F651" s="746"/>
      <c r="H651" s="374" t="s">
        <v>1774</v>
      </c>
      <c r="K651" s="374" t="s">
        <v>975</v>
      </c>
      <c r="O651" s="374" t="s">
        <v>1963</v>
      </c>
      <c r="S651" s="283"/>
      <c r="U651" s="744" t="s">
        <v>614</v>
      </c>
      <c r="W651" s="744"/>
      <c r="X651" s="283">
        <f>SUM(X643:X649)</f>
        <v>73515.570000000007</v>
      </c>
      <c r="AC651" s="744" t="s">
        <v>614</v>
      </c>
      <c r="AE651" s="374"/>
      <c r="AF651" s="283">
        <f>SUM(AF643:AF649)</f>
        <v>78931.17</v>
      </c>
    </row>
    <row r="652" spans="1:32" ht="24" customHeight="1">
      <c r="A652" s="792">
        <f t="shared" si="85"/>
        <v>457</v>
      </c>
      <c r="B652" s="374" t="s">
        <v>1964</v>
      </c>
      <c r="C652" s="283">
        <v>155.32</v>
      </c>
      <c r="D652" s="374" t="s">
        <v>868</v>
      </c>
      <c r="F652" s="283">
        <v>0.5</v>
      </c>
      <c r="G652" s="283" t="s">
        <v>769</v>
      </c>
      <c r="H652" s="374" t="s">
        <v>2009</v>
      </c>
      <c r="I652" s="283">
        <f>(C10)</f>
        <v>999</v>
      </c>
      <c r="J652" s="374" t="s">
        <v>769</v>
      </c>
      <c r="K652" s="283">
        <f>(F652*I652)</f>
        <v>499.5</v>
      </c>
      <c r="O652" s="748" t="s">
        <v>1586</v>
      </c>
      <c r="S652" s="283"/>
      <c r="W652" s="744"/>
      <c r="X652" s="748" t="s">
        <v>2055</v>
      </c>
      <c r="AE652" s="374"/>
      <c r="AF652" s="748" t="s">
        <v>2055</v>
      </c>
    </row>
    <row r="653" spans="1:32" ht="24" customHeight="1">
      <c r="A653" s="792">
        <f t="shared" si="85"/>
        <v>458</v>
      </c>
      <c r="B653" s="374" t="s">
        <v>1767</v>
      </c>
      <c r="C653" s="283">
        <v>91.08</v>
      </c>
      <c r="D653" s="374" t="s">
        <v>868</v>
      </c>
      <c r="F653" s="283">
        <v>0.75</v>
      </c>
      <c r="G653" s="283" t="s">
        <v>769</v>
      </c>
      <c r="H653" s="374" t="s">
        <v>1902</v>
      </c>
      <c r="I653" s="283">
        <f>(C12)</f>
        <v>651</v>
      </c>
      <c r="J653" s="374" t="s">
        <v>769</v>
      </c>
      <c r="K653" s="283">
        <f>(F653*I653)</f>
        <v>488.25</v>
      </c>
      <c r="M653" s="283">
        <v>9.5</v>
      </c>
      <c r="N653" s="374" t="s">
        <v>869</v>
      </c>
      <c r="O653" s="374" t="s">
        <v>1654</v>
      </c>
      <c r="P653" s="283">
        <f>(C62*2)</f>
        <v>224.1</v>
      </c>
      <c r="Q653" s="374" t="s">
        <v>869</v>
      </c>
      <c r="R653" s="283">
        <f t="shared" ref="R653:R661" si="89">(M653*P653)</f>
        <v>2128.9499999999998</v>
      </c>
      <c r="S653" s="283"/>
      <c r="U653" s="374" t="s">
        <v>773</v>
      </c>
      <c r="W653" s="744"/>
      <c r="X653" s="283">
        <f>X651/10</f>
        <v>7351.56</v>
      </c>
      <c r="AC653" s="374" t="s">
        <v>773</v>
      </c>
      <c r="AE653" s="374"/>
      <c r="AF653" s="283">
        <f>AF651/10</f>
        <v>7893.12</v>
      </c>
    </row>
    <row r="654" spans="1:32" ht="24" customHeight="1">
      <c r="A654" s="792">
        <f t="shared" si="85"/>
        <v>459</v>
      </c>
      <c r="B654" s="374" t="s">
        <v>5295</v>
      </c>
      <c r="C654" s="283">
        <v>42.7</v>
      </c>
      <c r="D654" s="374" t="s">
        <v>1645</v>
      </c>
      <c r="G654" s="283" t="s">
        <v>449</v>
      </c>
      <c r="H654" s="374" t="s">
        <v>450</v>
      </c>
      <c r="J654" s="374" t="s">
        <v>449</v>
      </c>
      <c r="K654" s="283">
        <v>0</v>
      </c>
      <c r="M654" s="283">
        <v>0.47</v>
      </c>
      <c r="N654" s="374" t="s">
        <v>869</v>
      </c>
      <c r="O654" s="374" t="s">
        <v>342</v>
      </c>
      <c r="P654" s="283">
        <f>(R75)</f>
        <v>6439.44</v>
      </c>
      <c r="Q654" s="374" t="s">
        <v>869</v>
      </c>
      <c r="R654" s="283">
        <f t="shared" si="89"/>
        <v>3026.54</v>
      </c>
      <c r="S654" s="283">
        <v>1</v>
      </c>
      <c r="T654" s="283" t="s">
        <v>869</v>
      </c>
      <c r="U654" s="374" t="s">
        <v>44</v>
      </c>
      <c r="W654" s="744"/>
      <c r="AA654" s="283">
        <v>1</v>
      </c>
      <c r="AB654" s="283" t="s">
        <v>869</v>
      </c>
      <c r="AC654" s="374" t="s">
        <v>44</v>
      </c>
      <c r="AE654" s="374"/>
    </row>
    <row r="655" spans="1:32" ht="24" customHeight="1">
      <c r="A655" s="792">
        <f t="shared" si="85"/>
        <v>460</v>
      </c>
      <c r="B655" s="374" t="s">
        <v>1843</v>
      </c>
      <c r="C655" s="283">
        <v>0.3</v>
      </c>
      <c r="D655" s="374" t="s">
        <v>868</v>
      </c>
      <c r="K655" s="748" t="s">
        <v>1586</v>
      </c>
      <c r="M655" s="283">
        <v>1.62</v>
      </c>
      <c r="N655" s="374" t="s">
        <v>869</v>
      </c>
      <c r="O655" s="374" t="s">
        <v>1976</v>
      </c>
      <c r="P655" s="283">
        <f>(R90)</f>
        <v>6947.96</v>
      </c>
      <c r="Q655" s="374" t="s">
        <v>869</v>
      </c>
      <c r="R655" s="283">
        <f t="shared" si="89"/>
        <v>11255.7</v>
      </c>
      <c r="W655" s="744"/>
      <c r="X655" s="283">
        <f>SUM(X653:X654)</f>
        <v>7351.56</v>
      </c>
      <c r="AA655" s="746"/>
      <c r="AF655" s="283">
        <f>SUM(AF653:AF654)</f>
        <v>7893.12</v>
      </c>
    </row>
    <row r="656" spans="1:32" ht="24" customHeight="1">
      <c r="A656" s="792">
        <f t="shared" si="85"/>
        <v>461</v>
      </c>
      <c r="B656" s="374" t="s">
        <v>5296</v>
      </c>
      <c r="C656" s="283">
        <v>189.65</v>
      </c>
      <c r="D656" s="374" t="s">
        <v>609</v>
      </c>
      <c r="H656" s="374" t="s">
        <v>102</v>
      </c>
      <c r="K656" s="283">
        <f>SUM(K650:K654)</f>
        <v>1099.96</v>
      </c>
      <c r="M656" s="283">
        <v>15.22</v>
      </c>
      <c r="N656" s="374" t="s">
        <v>609</v>
      </c>
      <c r="O656" s="374" t="s">
        <v>2135</v>
      </c>
      <c r="P656" s="283">
        <f>(R305)</f>
        <v>272.43</v>
      </c>
      <c r="Q656" s="374" t="s">
        <v>609</v>
      </c>
      <c r="R656" s="283">
        <f t="shared" si="89"/>
        <v>4146.38</v>
      </c>
      <c r="S656" s="283"/>
      <c r="U656" s="283" t="s">
        <v>3998</v>
      </c>
      <c r="W656" s="744"/>
      <c r="X656" s="283">
        <f>X655*0.5%</f>
        <v>36.76</v>
      </c>
      <c r="AC656" s="283" t="s">
        <v>3998</v>
      </c>
      <c r="AF656" s="283">
        <f>AF655*0.5%</f>
        <v>39.47</v>
      </c>
    </row>
    <row r="657" spans="1:32" ht="24" customHeight="1">
      <c r="A657" s="792">
        <f t="shared" si="85"/>
        <v>462</v>
      </c>
      <c r="B657" s="374" t="s">
        <v>2018</v>
      </c>
      <c r="C657" s="283">
        <v>97.31</v>
      </c>
      <c r="D657" s="374" t="s">
        <v>609</v>
      </c>
      <c r="K657" s="748" t="s">
        <v>1586</v>
      </c>
      <c r="M657" s="283">
        <v>0.18</v>
      </c>
      <c r="N657" s="374" t="s">
        <v>869</v>
      </c>
      <c r="O657" s="374" t="s">
        <v>1333</v>
      </c>
      <c r="P657" s="283">
        <f>(K281)</f>
        <v>7900.17</v>
      </c>
      <c r="Q657" s="374" t="s">
        <v>869</v>
      </c>
      <c r="R657" s="283">
        <f t="shared" si="89"/>
        <v>1422.03</v>
      </c>
      <c r="S657" s="283"/>
      <c r="W657" s="744"/>
      <c r="X657" s="748"/>
      <c r="AE657" s="374"/>
      <c r="AF657" s="748"/>
    </row>
    <row r="658" spans="1:32" ht="24" customHeight="1">
      <c r="A658" s="792">
        <f t="shared" si="85"/>
        <v>463</v>
      </c>
      <c r="B658" s="374" t="s">
        <v>5297</v>
      </c>
      <c r="C658" s="283">
        <v>196.45</v>
      </c>
      <c r="D658" s="374" t="s">
        <v>1152</v>
      </c>
      <c r="H658" s="374" t="s">
        <v>552</v>
      </c>
      <c r="K658" s="283">
        <f>(K656/0.372)</f>
        <v>2956.88</v>
      </c>
      <c r="M658" s="283">
        <v>0.36</v>
      </c>
      <c r="N658" s="374" t="s">
        <v>609</v>
      </c>
      <c r="O658" s="374" t="s">
        <v>760</v>
      </c>
      <c r="P658" s="283">
        <f>(K468)</f>
        <v>403.58</v>
      </c>
      <c r="Q658" s="374" t="s">
        <v>609</v>
      </c>
      <c r="R658" s="283">
        <f t="shared" si="89"/>
        <v>145.29</v>
      </c>
      <c r="S658" s="283"/>
      <c r="U658" s="283" t="s">
        <v>3588</v>
      </c>
      <c r="W658" s="744"/>
      <c r="X658" s="751">
        <f>SUM(X655:X657)</f>
        <v>7388.32</v>
      </c>
      <c r="AC658" s="283" t="s">
        <v>3588</v>
      </c>
      <c r="AE658" s="374"/>
      <c r="AF658" s="751">
        <f>SUM(AF655:AF657)</f>
        <v>7932.59</v>
      </c>
    </row>
    <row r="659" spans="1:32" ht="24" customHeight="1">
      <c r="A659" s="792">
        <f t="shared" si="85"/>
        <v>464</v>
      </c>
      <c r="B659" s="374" t="s">
        <v>5298</v>
      </c>
      <c r="C659" s="283">
        <f>C658</f>
        <v>196.45</v>
      </c>
      <c r="D659" s="374" t="s">
        <v>1152</v>
      </c>
      <c r="K659" s="748" t="s">
        <v>2055</v>
      </c>
      <c r="M659" s="283">
        <v>1</v>
      </c>
      <c r="N659" s="374" t="s">
        <v>868</v>
      </c>
      <c r="O659" s="374" t="s">
        <v>1164</v>
      </c>
      <c r="P659" s="283">
        <f>(C204)</f>
        <v>128</v>
      </c>
      <c r="Q659" s="374" t="s">
        <v>868</v>
      </c>
      <c r="R659" s="283">
        <f t="shared" si="89"/>
        <v>128</v>
      </c>
      <c r="S659" s="283"/>
      <c r="W659" s="744"/>
      <c r="X659" s="748" t="s">
        <v>1586</v>
      </c>
      <c r="AE659" s="374"/>
      <c r="AF659" s="748" t="s">
        <v>1586</v>
      </c>
    </row>
    <row r="660" spans="1:32" ht="24" customHeight="1">
      <c r="A660" s="792">
        <f t="shared" si="85"/>
        <v>465</v>
      </c>
      <c r="B660" s="374" t="s">
        <v>1165</v>
      </c>
      <c r="C660" s="283">
        <v>3.91</v>
      </c>
      <c r="D660" s="374" t="s">
        <v>868</v>
      </c>
      <c r="E660" s="283" t="s">
        <v>148</v>
      </c>
      <c r="H660" s="374" t="s">
        <v>386</v>
      </c>
      <c r="I660" s="283">
        <f>K658</f>
        <v>2956.88</v>
      </c>
      <c r="J660" s="374">
        <f>C22*0.014/0.372</f>
        <v>4.51</v>
      </c>
      <c r="K660" s="751">
        <f>I660+J660</f>
        <v>2961.39</v>
      </c>
      <c r="M660" s="283">
        <v>1.8</v>
      </c>
      <c r="N660" s="374" t="s">
        <v>335</v>
      </c>
      <c r="O660" s="374" t="s">
        <v>336</v>
      </c>
      <c r="P660" s="283">
        <f>(C326)</f>
        <v>14.91</v>
      </c>
      <c r="Q660" s="374" t="s">
        <v>335</v>
      </c>
      <c r="R660" s="283">
        <f t="shared" si="89"/>
        <v>26.84</v>
      </c>
      <c r="S660" s="283"/>
      <c r="U660" s="374" t="s">
        <v>386</v>
      </c>
      <c r="W660" s="744"/>
      <c r="X660" s="751">
        <f>(X658+C23)</f>
        <v>7624.42</v>
      </c>
      <c r="AC660" s="374" t="s">
        <v>386</v>
      </c>
      <c r="AE660" s="374"/>
      <c r="AF660" s="751">
        <f>AF658+C23</f>
        <v>8168.69</v>
      </c>
    </row>
    <row r="661" spans="1:32" ht="24" customHeight="1">
      <c r="A661" s="792">
        <f t="shared" si="85"/>
        <v>466</v>
      </c>
      <c r="B661" s="374" t="s">
        <v>5860</v>
      </c>
      <c r="C661" s="283">
        <v>70.150000000000006</v>
      </c>
      <c r="D661" s="374">
        <v>69.599999999999994</v>
      </c>
      <c r="E661" s="283" t="s">
        <v>4589</v>
      </c>
      <c r="H661" s="374" t="s">
        <v>388</v>
      </c>
      <c r="I661" s="283">
        <f>K660</f>
        <v>2961.39</v>
      </c>
      <c r="J661" s="374">
        <f>C23*0.014/0.372</f>
        <v>8.89</v>
      </c>
      <c r="K661" s="751">
        <f>I661+J661</f>
        <v>2970.28</v>
      </c>
      <c r="M661" s="283">
        <v>1</v>
      </c>
      <c r="N661" s="374" t="s">
        <v>868</v>
      </c>
      <c r="O661" s="374" t="s">
        <v>1913</v>
      </c>
      <c r="P661" s="283">
        <f>(C372)</f>
        <v>13.29</v>
      </c>
      <c r="Q661" s="374" t="s">
        <v>868</v>
      </c>
      <c r="R661" s="283">
        <f t="shared" si="89"/>
        <v>13.29</v>
      </c>
      <c r="S661" s="283"/>
      <c r="U661" s="374" t="s">
        <v>388</v>
      </c>
      <c r="W661" s="744"/>
      <c r="X661" s="751">
        <f>X660+C24</f>
        <v>7860.52</v>
      </c>
      <c r="AC661" s="374" t="s">
        <v>388</v>
      </c>
      <c r="AE661" s="374"/>
      <c r="AF661" s="751">
        <f>AF660+C24</f>
        <v>8404.7900000000009</v>
      </c>
    </row>
    <row r="662" spans="1:32" ht="32.25" customHeight="1">
      <c r="A662" s="792">
        <f t="shared" si="85"/>
        <v>467</v>
      </c>
      <c r="B662" s="894" t="s">
        <v>5299</v>
      </c>
      <c r="C662" s="283">
        <v>11.2</v>
      </c>
      <c r="D662" s="374" t="s">
        <v>1771</v>
      </c>
      <c r="E662" s="283">
        <v>17.3</v>
      </c>
      <c r="H662" s="374" t="s">
        <v>2232</v>
      </c>
      <c r="I662" s="283">
        <f>K661</f>
        <v>2970.28</v>
      </c>
      <c r="J662" s="374">
        <f>J661</f>
        <v>8.89</v>
      </c>
      <c r="K662" s="751">
        <f>I662+J662</f>
        <v>2979.17</v>
      </c>
      <c r="N662" s="374" t="s">
        <v>449</v>
      </c>
      <c r="O662" s="374" t="s">
        <v>340</v>
      </c>
      <c r="Q662" s="374" t="s">
        <v>449</v>
      </c>
      <c r="R662" s="283">
        <v>1.72</v>
      </c>
      <c r="S662" s="283"/>
      <c r="U662" s="374" t="s">
        <v>2232</v>
      </c>
      <c r="W662" s="744"/>
      <c r="X662" s="751">
        <f>X661+C25</f>
        <v>7954.72</v>
      </c>
      <c r="AC662" s="374" t="s">
        <v>2232</v>
      </c>
      <c r="AE662" s="374"/>
      <c r="AF662" s="751">
        <f>AF661+C25</f>
        <v>8498.99</v>
      </c>
    </row>
    <row r="663" spans="1:32" ht="24" customHeight="1">
      <c r="A663" s="792">
        <f t="shared" si="85"/>
        <v>468</v>
      </c>
      <c r="B663" s="895" t="s">
        <v>5300</v>
      </c>
      <c r="C663" s="283">
        <v>17.3</v>
      </c>
      <c r="D663" s="374" t="s">
        <v>1771</v>
      </c>
      <c r="H663" s="374" t="s">
        <v>380</v>
      </c>
      <c r="I663" s="283">
        <f>K662</f>
        <v>2979.17</v>
      </c>
      <c r="J663" s="374">
        <f>J662</f>
        <v>8.89</v>
      </c>
      <c r="K663" s="751">
        <f>I663+J663</f>
        <v>2988.06</v>
      </c>
      <c r="R663" s="374" t="s">
        <v>975</v>
      </c>
      <c r="S663" s="283"/>
      <c r="U663" s="374" t="s">
        <v>380</v>
      </c>
      <c r="W663" s="744"/>
      <c r="X663" s="751">
        <f>X662+C25</f>
        <v>8048.92</v>
      </c>
      <c r="AC663" s="374" t="s">
        <v>380</v>
      </c>
      <c r="AE663" s="374"/>
      <c r="AF663" s="751">
        <f>AF662+C25</f>
        <v>8593.19</v>
      </c>
    </row>
    <row r="664" spans="1:32" ht="24" customHeight="1">
      <c r="A664" s="792">
        <f t="shared" si="85"/>
        <v>469</v>
      </c>
      <c r="B664" s="374" t="s">
        <v>4590</v>
      </c>
      <c r="C664" s="283">
        <v>8.9</v>
      </c>
      <c r="D664" s="374">
        <v>10.65</v>
      </c>
      <c r="E664" s="283">
        <v>2</v>
      </c>
      <c r="H664" s="374" t="s">
        <v>1364</v>
      </c>
      <c r="I664" s="283">
        <f>K663</f>
        <v>2988.06</v>
      </c>
      <c r="J664" s="374">
        <f>J663</f>
        <v>8.89</v>
      </c>
      <c r="K664" s="751">
        <f>I664+J664</f>
        <v>2996.95</v>
      </c>
      <c r="R664" s="748" t="s">
        <v>1586</v>
      </c>
      <c r="S664" s="283"/>
      <c r="U664" s="374" t="s">
        <v>1532</v>
      </c>
      <c r="W664" s="744"/>
      <c r="X664" s="751">
        <f>X663+C25</f>
        <v>8143.12</v>
      </c>
      <c r="AC664" s="374" t="s">
        <v>1532</v>
      </c>
      <c r="AE664" s="374"/>
      <c r="AF664" s="751">
        <f>AF663+K25</f>
        <v>8593.19</v>
      </c>
    </row>
    <row r="665" spans="1:32" ht="24" customHeight="1">
      <c r="A665" s="792"/>
      <c r="B665" s="374"/>
      <c r="D665" s="374"/>
      <c r="H665" s="374">
        <v>5</v>
      </c>
      <c r="I665" s="283">
        <f t="shared" ref="I665:I671" si="90">K664</f>
        <v>2996.95</v>
      </c>
      <c r="J665" s="374">
        <f t="shared" ref="J665:J671" si="91">J664</f>
        <v>8.89</v>
      </c>
      <c r="K665" s="751">
        <f t="shared" ref="K665:K671" si="92">I665+J665</f>
        <v>3005.84</v>
      </c>
      <c r="R665" s="748"/>
      <c r="S665" s="283"/>
      <c r="U665" s="374">
        <v>5</v>
      </c>
      <c r="W665" s="744"/>
      <c r="X665" s="751">
        <f>X664+C25</f>
        <v>8237.32</v>
      </c>
      <c r="AC665" s="374">
        <v>5</v>
      </c>
      <c r="AE665" s="374"/>
      <c r="AF665" s="751">
        <f>AF664+K25</f>
        <v>8593.19</v>
      </c>
    </row>
    <row r="666" spans="1:32" ht="24" customHeight="1">
      <c r="A666" s="792"/>
      <c r="B666" s="374"/>
      <c r="D666" s="374"/>
      <c r="H666" s="374">
        <v>6</v>
      </c>
      <c r="I666" s="283">
        <f t="shared" si="90"/>
        <v>3005.84</v>
      </c>
      <c r="J666" s="374">
        <f t="shared" si="91"/>
        <v>8.89</v>
      </c>
      <c r="K666" s="751">
        <f t="shared" si="92"/>
        <v>3014.73</v>
      </c>
      <c r="R666" s="748"/>
      <c r="W666" s="744"/>
      <c r="AA666" s="746"/>
    </row>
    <row r="667" spans="1:32" ht="24" customHeight="1">
      <c r="A667" s="792"/>
      <c r="B667" s="374"/>
      <c r="D667" s="374"/>
      <c r="H667" s="374">
        <v>7</v>
      </c>
      <c r="I667" s="283">
        <f t="shared" si="90"/>
        <v>3014.73</v>
      </c>
      <c r="J667" s="374">
        <f t="shared" si="91"/>
        <v>8.89</v>
      </c>
      <c r="K667" s="751">
        <f t="shared" si="92"/>
        <v>3023.62</v>
      </c>
      <c r="R667" s="748"/>
      <c r="W667" s="744"/>
      <c r="AA667" s="746"/>
    </row>
    <row r="668" spans="1:32" ht="24" customHeight="1">
      <c r="A668" s="792"/>
      <c r="B668" s="374"/>
      <c r="D668" s="374"/>
      <c r="H668" s="374">
        <v>8</v>
      </c>
      <c r="I668" s="283">
        <f t="shared" si="90"/>
        <v>3023.62</v>
      </c>
      <c r="J668" s="374">
        <f t="shared" si="91"/>
        <v>8.89</v>
      </c>
      <c r="K668" s="751">
        <f t="shared" si="92"/>
        <v>3032.51</v>
      </c>
      <c r="R668" s="748"/>
      <c r="W668" s="744"/>
      <c r="AA668" s="746"/>
    </row>
    <row r="669" spans="1:32" ht="24" customHeight="1">
      <c r="A669" s="792"/>
      <c r="B669" s="374"/>
      <c r="D669" s="374"/>
      <c r="H669" s="374">
        <v>9</v>
      </c>
      <c r="I669" s="283">
        <f t="shared" si="90"/>
        <v>3032.51</v>
      </c>
      <c r="J669" s="374">
        <f t="shared" si="91"/>
        <v>8.89</v>
      </c>
      <c r="K669" s="751">
        <f t="shared" si="92"/>
        <v>3041.4</v>
      </c>
      <c r="R669" s="748"/>
      <c r="W669" s="744"/>
      <c r="AA669" s="746"/>
    </row>
    <row r="670" spans="1:32" ht="24" customHeight="1">
      <c r="A670" s="792"/>
      <c r="B670" s="374"/>
      <c r="D670" s="374"/>
      <c r="H670" s="374">
        <v>10</v>
      </c>
      <c r="I670" s="283">
        <f t="shared" si="90"/>
        <v>3041.4</v>
      </c>
      <c r="J670" s="374">
        <f t="shared" si="91"/>
        <v>8.89</v>
      </c>
      <c r="K670" s="751">
        <f t="shared" si="92"/>
        <v>3050.29</v>
      </c>
      <c r="R670" s="748"/>
      <c r="W670" s="744"/>
      <c r="AA670" s="746"/>
    </row>
    <row r="671" spans="1:32" ht="24" customHeight="1">
      <c r="A671" s="792"/>
      <c r="B671" s="374"/>
      <c r="D671" s="374"/>
      <c r="H671" s="374">
        <v>11</v>
      </c>
      <c r="I671" s="283">
        <f t="shared" si="90"/>
        <v>3050.29</v>
      </c>
      <c r="J671" s="374">
        <f t="shared" si="91"/>
        <v>8.89</v>
      </c>
      <c r="K671" s="751">
        <f t="shared" si="92"/>
        <v>3059.18</v>
      </c>
      <c r="R671" s="748"/>
      <c r="W671" s="744"/>
      <c r="AA671" s="746"/>
    </row>
    <row r="672" spans="1:32" ht="24" customHeight="1">
      <c r="A672" s="792"/>
      <c r="B672" s="374"/>
      <c r="D672" s="374"/>
      <c r="H672" s="374"/>
      <c r="K672" s="751"/>
      <c r="R672" s="748"/>
      <c r="W672" s="744"/>
      <c r="AA672" s="746"/>
    </row>
    <row r="673" spans="1:33" ht="28.5" customHeight="1">
      <c r="A673" s="792">
        <f>(A664+1)</f>
        <v>470</v>
      </c>
      <c r="B673" s="374" t="s">
        <v>174</v>
      </c>
      <c r="C673" s="283">
        <v>12.65</v>
      </c>
      <c r="D673" s="374">
        <v>12.85</v>
      </c>
      <c r="E673" s="283">
        <v>3.7</v>
      </c>
      <c r="F673" s="744" t="s">
        <v>1334</v>
      </c>
      <c r="H673" s="374" t="s">
        <v>759</v>
      </c>
      <c r="O673" s="374" t="s">
        <v>1751</v>
      </c>
      <c r="R673" s="283">
        <f>SUM(R653:R663)</f>
        <v>22294.74</v>
      </c>
      <c r="W673" s="744"/>
      <c r="AA673" s="746"/>
    </row>
    <row r="674" spans="1:33" ht="24" customHeight="1">
      <c r="A674" s="792">
        <f t="shared" si="85"/>
        <v>471</v>
      </c>
      <c r="B674" s="374" t="s">
        <v>175</v>
      </c>
      <c r="C674" s="283">
        <v>4</v>
      </c>
      <c r="D674" s="374" t="s">
        <v>449</v>
      </c>
      <c r="H674" s="374" t="s">
        <v>1409</v>
      </c>
      <c r="R674" s="748" t="s">
        <v>1586</v>
      </c>
      <c r="W674" s="744"/>
      <c r="AE674" s="283" t="str">
        <f t="shared" ref="AE674:AE681" si="93">AG674</f>
        <v>|</v>
      </c>
      <c r="AG674" s="374" t="s">
        <v>2259</v>
      </c>
    </row>
    <row r="675" spans="1:33" ht="24" customHeight="1">
      <c r="A675" s="792">
        <f t="shared" si="85"/>
        <v>472</v>
      </c>
      <c r="B675" s="374" t="s">
        <v>418</v>
      </c>
      <c r="C675" s="283">
        <v>5</v>
      </c>
      <c r="D675" s="374" t="s">
        <v>449</v>
      </c>
      <c r="H675" s="374" t="s">
        <v>334</v>
      </c>
      <c r="O675" s="374" t="s">
        <v>1439</v>
      </c>
      <c r="T675" s="751">
        <v>4.2</v>
      </c>
      <c r="U675" s="751" t="s">
        <v>3991</v>
      </c>
      <c r="W675" s="744"/>
      <c r="AE675" s="283" t="str">
        <f t="shared" si="93"/>
        <v>|</v>
      </c>
      <c r="AG675" s="374" t="s">
        <v>2259</v>
      </c>
    </row>
    <row r="676" spans="1:33" ht="24" customHeight="1">
      <c r="A676" s="792">
        <f t="shared" si="85"/>
        <v>473</v>
      </c>
      <c r="B676" s="374" t="s">
        <v>1598</v>
      </c>
      <c r="C676" s="283">
        <v>96</v>
      </c>
      <c r="D676" s="374" t="s">
        <v>868</v>
      </c>
      <c r="H676" s="374" t="s">
        <v>1503</v>
      </c>
      <c r="N676" s="374" t="s">
        <v>2251</v>
      </c>
      <c r="O676" s="374" t="s">
        <v>1600</v>
      </c>
      <c r="S676" s="746">
        <v>5</v>
      </c>
      <c r="T676" s="283" t="s">
        <v>1341</v>
      </c>
      <c r="U676" s="283" t="s">
        <v>6095</v>
      </c>
      <c r="V676" s="283">
        <f>V706</f>
        <v>1582.2</v>
      </c>
      <c r="W676" s="744"/>
      <c r="X676" s="283">
        <f>V676*S676</f>
        <v>7911</v>
      </c>
      <c r="AE676" s="283" t="str">
        <f t="shared" si="93"/>
        <v>|</v>
      </c>
      <c r="AG676" s="374" t="s">
        <v>2259</v>
      </c>
    </row>
    <row r="677" spans="1:33" ht="24" customHeight="1">
      <c r="A677" s="792">
        <f t="shared" si="85"/>
        <v>474</v>
      </c>
      <c r="B677" s="374" t="s">
        <v>1601</v>
      </c>
      <c r="C677" s="283">
        <v>75</v>
      </c>
      <c r="D677" s="374" t="s">
        <v>868</v>
      </c>
      <c r="H677" s="374" t="s">
        <v>170</v>
      </c>
      <c r="O677" s="374" t="s">
        <v>1602</v>
      </c>
      <c r="S677" s="746">
        <v>3.3</v>
      </c>
      <c r="T677" s="283" t="s">
        <v>1341</v>
      </c>
      <c r="U677" s="283" t="s">
        <v>6096</v>
      </c>
      <c r="V677" s="283">
        <f t="shared" ref="V677:V686" si="94">V707</f>
        <v>1292.2</v>
      </c>
      <c r="W677" s="744"/>
      <c r="X677" s="283">
        <f t="shared" ref="X677:X683" si="95">V677*S677</f>
        <v>4264.26</v>
      </c>
      <c r="AE677" s="283" t="str">
        <f t="shared" si="93"/>
        <v>|</v>
      </c>
      <c r="AG677" s="374" t="s">
        <v>2259</v>
      </c>
    </row>
    <row r="678" spans="1:33" ht="24" customHeight="1">
      <c r="A678" s="792">
        <f t="shared" si="85"/>
        <v>475</v>
      </c>
      <c r="B678" s="374" t="s">
        <v>1603</v>
      </c>
      <c r="C678" s="283">
        <v>26.6</v>
      </c>
      <c r="D678" s="283">
        <v>40.9</v>
      </c>
      <c r="E678" s="283">
        <v>3</v>
      </c>
      <c r="H678" s="374" t="s">
        <v>172</v>
      </c>
      <c r="O678" s="748" t="s">
        <v>1586</v>
      </c>
      <c r="S678" s="746">
        <v>4.79</v>
      </c>
      <c r="T678" s="283" t="s">
        <v>1341</v>
      </c>
      <c r="U678" s="283" t="s">
        <v>6097</v>
      </c>
      <c r="V678" s="283">
        <f t="shared" si="94"/>
        <v>2074.06</v>
      </c>
      <c r="W678" s="744"/>
      <c r="X678" s="283">
        <f t="shared" si="95"/>
        <v>9934.75</v>
      </c>
      <c r="AE678" s="283" t="str">
        <f t="shared" si="93"/>
        <v>|</v>
      </c>
      <c r="AG678" s="374" t="s">
        <v>2259</v>
      </c>
    </row>
    <row r="679" spans="1:33" ht="24" customHeight="1">
      <c r="A679" s="792">
        <f t="shared" si="85"/>
        <v>476</v>
      </c>
      <c r="B679" s="374" t="s">
        <v>1580</v>
      </c>
      <c r="C679" s="283">
        <v>80</v>
      </c>
      <c r="D679" s="374" t="s">
        <v>868</v>
      </c>
      <c r="H679" s="374" t="s">
        <v>173</v>
      </c>
      <c r="M679" s="283">
        <v>1</v>
      </c>
      <c r="N679" s="374" t="s">
        <v>868</v>
      </c>
      <c r="O679" s="374" t="s">
        <v>1582</v>
      </c>
      <c r="P679" s="283">
        <f>(C384)</f>
        <v>14.91</v>
      </c>
      <c r="Q679" s="374" t="s">
        <v>868</v>
      </c>
      <c r="R679" s="283">
        <f>(M679*P679)</f>
        <v>14.91</v>
      </c>
      <c r="S679" s="746">
        <v>4</v>
      </c>
      <c r="T679" s="283" t="s">
        <v>528</v>
      </c>
      <c r="U679" s="283" t="s">
        <v>390</v>
      </c>
      <c r="V679" s="283">
        <f t="shared" si="94"/>
        <v>6040</v>
      </c>
      <c r="W679" s="744"/>
      <c r="X679" s="283">
        <f t="shared" si="95"/>
        <v>24160</v>
      </c>
      <c r="AE679" s="283" t="str">
        <f t="shared" si="93"/>
        <v>|</v>
      </c>
      <c r="AG679" s="374" t="s">
        <v>2259</v>
      </c>
    </row>
    <row r="680" spans="1:33" ht="24" customHeight="1">
      <c r="A680" s="792">
        <f t="shared" si="85"/>
        <v>477</v>
      </c>
      <c r="B680" s="374" t="s">
        <v>135</v>
      </c>
      <c r="C680" s="283">
        <v>64</v>
      </c>
      <c r="D680" s="374" t="s">
        <v>868</v>
      </c>
      <c r="H680" s="748" t="s">
        <v>1586</v>
      </c>
      <c r="I680" s="748" t="s">
        <v>1586</v>
      </c>
      <c r="N680" s="374" t="s">
        <v>449</v>
      </c>
      <c r="O680" s="374" t="s">
        <v>136</v>
      </c>
      <c r="Q680" s="374" t="s">
        <v>449</v>
      </c>
      <c r="R680" s="283">
        <v>2.09</v>
      </c>
      <c r="S680" s="746">
        <v>40</v>
      </c>
      <c r="T680" s="283" t="s">
        <v>1645</v>
      </c>
      <c r="U680" s="283" t="s">
        <v>4008</v>
      </c>
      <c r="V680" s="283">
        <f>V649</f>
        <v>43.2</v>
      </c>
      <c r="W680" s="744"/>
      <c r="X680" s="283">
        <f t="shared" si="95"/>
        <v>1728</v>
      </c>
      <c r="AE680" s="283" t="str">
        <f t="shared" si="93"/>
        <v>|</v>
      </c>
      <c r="AG680" s="374" t="s">
        <v>2259</v>
      </c>
    </row>
    <row r="681" spans="1:33" ht="24" customHeight="1">
      <c r="A681" s="792">
        <f t="shared" si="85"/>
        <v>478</v>
      </c>
      <c r="B681" s="374" t="s">
        <v>137</v>
      </c>
      <c r="C681" s="283">
        <v>40.5</v>
      </c>
      <c r="D681" s="374" t="s">
        <v>868</v>
      </c>
      <c r="F681" s="283">
        <v>1</v>
      </c>
      <c r="G681" s="283" t="s">
        <v>609</v>
      </c>
      <c r="H681" s="374" t="s">
        <v>176</v>
      </c>
      <c r="I681" s="283">
        <f>D77</f>
        <v>290</v>
      </c>
      <c r="J681" s="374" t="s">
        <v>609</v>
      </c>
      <c r="K681" s="283">
        <f>(F681*I681)</f>
        <v>290</v>
      </c>
      <c r="O681" s="374" t="s">
        <v>138</v>
      </c>
      <c r="R681" s="374" t="s">
        <v>975</v>
      </c>
      <c r="S681" s="746">
        <v>3.5</v>
      </c>
      <c r="T681" s="283" t="s">
        <v>1432</v>
      </c>
      <c r="U681" s="283" t="s">
        <v>465</v>
      </c>
      <c r="V681" s="283">
        <f t="shared" si="94"/>
        <v>932</v>
      </c>
      <c r="W681" s="744"/>
      <c r="X681" s="283">
        <f>V681*S681</f>
        <v>3262</v>
      </c>
      <c r="AE681" s="283" t="str">
        <f t="shared" si="93"/>
        <v>|</v>
      </c>
      <c r="AG681" s="374" t="s">
        <v>2259</v>
      </c>
    </row>
    <row r="682" spans="1:33" ht="24" customHeight="1">
      <c r="A682" s="792">
        <f t="shared" si="85"/>
        <v>479</v>
      </c>
      <c r="B682" s="374" t="s">
        <v>1461</v>
      </c>
      <c r="C682" s="283">
        <v>92</v>
      </c>
      <c r="D682" s="374" t="s">
        <v>868</v>
      </c>
      <c r="F682" s="283">
        <v>1</v>
      </c>
      <c r="G682" s="283" t="s">
        <v>609</v>
      </c>
      <c r="H682" s="374" t="s">
        <v>1438</v>
      </c>
      <c r="I682" s="283">
        <f>C76</f>
        <v>175</v>
      </c>
      <c r="J682" s="374" t="s">
        <v>609</v>
      </c>
      <c r="K682" s="283">
        <f>(F682*I682)</f>
        <v>175</v>
      </c>
      <c r="R682" s="748" t="s">
        <v>1586</v>
      </c>
      <c r="S682" s="746">
        <v>21.2</v>
      </c>
      <c r="T682" s="283" t="s">
        <v>1432</v>
      </c>
      <c r="U682" s="283" t="s">
        <v>3463</v>
      </c>
      <c r="V682" s="283">
        <f t="shared" si="94"/>
        <v>651</v>
      </c>
      <c r="W682" s="744"/>
      <c r="X682" s="283">
        <f t="shared" si="95"/>
        <v>13801.2</v>
      </c>
      <c r="AE682" s="283">
        <f>32.32*100</f>
        <v>3232</v>
      </c>
      <c r="AG682" s="374" t="s">
        <v>2259</v>
      </c>
    </row>
    <row r="683" spans="1:33" ht="24" customHeight="1">
      <c r="A683" s="792">
        <f t="shared" si="85"/>
        <v>480</v>
      </c>
      <c r="B683" s="374" t="s">
        <v>1564</v>
      </c>
      <c r="C683" s="283">
        <v>60</v>
      </c>
      <c r="D683" s="374" t="s">
        <v>868</v>
      </c>
      <c r="F683" s="283">
        <v>1</v>
      </c>
      <c r="G683" s="283" t="s">
        <v>449</v>
      </c>
      <c r="H683" s="374" t="s">
        <v>1599</v>
      </c>
      <c r="I683" s="283">
        <v>15</v>
      </c>
      <c r="J683" s="374" t="s">
        <v>449</v>
      </c>
      <c r="K683" s="283">
        <f>(F683*I683)</f>
        <v>15</v>
      </c>
      <c r="O683" s="374" t="s">
        <v>1565</v>
      </c>
      <c r="R683" s="283">
        <f>SUM(R679:R681)</f>
        <v>17</v>
      </c>
      <c r="S683" s="746">
        <v>35.299999999999997</v>
      </c>
      <c r="T683" s="283" t="s">
        <v>1432</v>
      </c>
      <c r="U683" s="283" t="s">
        <v>3464</v>
      </c>
      <c r="V683" s="283">
        <f>V713</f>
        <v>534</v>
      </c>
      <c r="W683" s="744"/>
      <c r="X683" s="283">
        <f t="shared" si="95"/>
        <v>18850.2</v>
      </c>
      <c r="AE683" s="283">
        <f>48.824*100</f>
        <v>4882.3999999999996</v>
      </c>
      <c r="AG683" s="374" t="s">
        <v>2259</v>
      </c>
    </row>
    <row r="684" spans="1:33" ht="24" customHeight="1">
      <c r="A684" s="792">
        <f t="shared" si="85"/>
        <v>481</v>
      </c>
      <c r="B684" s="374" t="s">
        <v>1363</v>
      </c>
      <c r="C684" s="283">
        <v>49.87</v>
      </c>
      <c r="D684" s="374" t="s">
        <v>868</v>
      </c>
      <c r="K684" s="748" t="s">
        <v>1586</v>
      </c>
      <c r="R684" s="748" t="s">
        <v>1586</v>
      </c>
      <c r="U684" s="751" t="s">
        <v>4003</v>
      </c>
      <c r="W684" s="744"/>
      <c r="X684" s="751">
        <f>SUM(X676:X683)</f>
        <v>83911.41</v>
      </c>
      <c r="AA684" s="746">
        <f>22.77+26.054</f>
        <v>48.823999999999998</v>
      </c>
      <c r="AE684" s="283">
        <f>0.52*100</f>
        <v>52</v>
      </c>
      <c r="AG684" s="374" t="s">
        <v>2259</v>
      </c>
    </row>
    <row r="685" spans="1:33" ht="24" customHeight="1">
      <c r="A685" s="792">
        <f t="shared" si="85"/>
        <v>482</v>
      </c>
      <c r="B685" s="374" t="s">
        <v>1815</v>
      </c>
      <c r="C685" s="283">
        <v>80</v>
      </c>
      <c r="D685" s="374" t="s">
        <v>868</v>
      </c>
      <c r="H685" s="374" t="s">
        <v>552</v>
      </c>
      <c r="K685" s="283">
        <f>SUM(K679:K683)</f>
        <v>480</v>
      </c>
      <c r="U685" s="751" t="s">
        <v>4004</v>
      </c>
      <c r="W685" s="744"/>
      <c r="X685" s="751">
        <f>X684/10</f>
        <v>8391.14</v>
      </c>
      <c r="Y685" s="283">
        <f>X685</f>
        <v>8391.14</v>
      </c>
      <c r="AC685" s="283">
        <f>26.19*0.02</f>
        <v>0.52</v>
      </c>
      <c r="AE685" s="283">
        <f>0.397*100</f>
        <v>39.700000000000003</v>
      </c>
      <c r="AF685" s="283">
        <f>AE682+AE683+AE684+AE685</f>
        <v>8206.1</v>
      </c>
      <c r="AG685" s="374" t="s">
        <v>2259</v>
      </c>
    </row>
    <row r="686" spans="1:33" ht="24" customHeight="1">
      <c r="A686" s="792">
        <f t="shared" si="85"/>
        <v>483</v>
      </c>
      <c r="B686" s="374" t="s">
        <v>1817</v>
      </c>
      <c r="C686" s="283">
        <v>52</v>
      </c>
      <c r="D686" s="374" t="s">
        <v>868</v>
      </c>
      <c r="H686" s="374" t="s">
        <v>1581</v>
      </c>
      <c r="K686" s="748" t="s">
        <v>2055</v>
      </c>
      <c r="N686" s="374" t="s">
        <v>2251</v>
      </c>
      <c r="O686" s="374" t="s">
        <v>894</v>
      </c>
      <c r="S686" s="746">
        <v>1</v>
      </c>
      <c r="T686" s="283" t="s">
        <v>1341</v>
      </c>
      <c r="U686" s="283" t="s">
        <v>4030</v>
      </c>
      <c r="V686" s="283">
        <f t="shared" si="94"/>
        <v>94.2</v>
      </c>
      <c r="W686" s="744"/>
      <c r="X686" s="283">
        <f>V686</f>
        <v>94.2</v>
      </c>
      <c r="AC686" s="746">
        <f>9.92*0.04</f>
        <v>0.39700000000000002</v>
      </c>
      <c r="AE686" s="283" t="str">
        <f t="shared" ref="AE686:AE749" si="96">AG686</f>
        <v>|</v>
      </c>
      <c r="AG686" s="374" t="s">
        <v>2259</v>
      </c>
    </row>
    <row r="687" spans="1:33" ht="24" customHeight="1">
      <c r="A687" s="792">
        <f t="shared" si="85"/>
        <v>484</v>
      </c>
      <c r="B687" s="374" t="s">
        <v>1182</v>
      </c>
      <c r="C687" s="283">
        <v>39</v>
      </c>
      <c r="D687" s="374" t="s">
        <v>868</v>
      </c>
      <c r="H687" s="374" t="s">
        <v>386</v>
      </c>
      <c r="I687" s="283">
        <f>K685</f>
        <v>480</v>
      </c>
      <c r="J687" s="374">
        <f>C19*0.05</f>
        <v>3.95</v>
      </c>
      <c r="K687" s="751">
        <f>I687+J687</f>
        <v>483.95</v>
      </c>
      <c r="O687" s="374" t="s">
        <v>1602</v>
      </c>
      <c r="U687" s="283" t="s">
        <v>4005</v>
      </c>
      <c r="W687" s="744"/>
      <c r="X687" s="751">
        <f>SUM(X685:X686)</f>
        <v>8485.34</v>
      </c>
      <c r="Y687" s="283">
        <f>SUM(Y685:Y686)</f>
        <v>8391.14</v>
      </c>
      <c r="AE687" s="283" t="str">
        <f t="shared" si="96"/>
        <v>|</v>
      </c>
      <c r="AF687" s="283">
        <f>SUM(AF685:AF686)</f>
        <v>8206.1</v>
      </c>
      <c r="AG687" s="374" t="s">
        <v>2259</v>
      </c>
    </row>
    <row r="688" spans="1:33" ht="24" customHeight="1">
      <c r="A688" s="792">
        <f t="shared" si="85"/>
        <v>485</v>
      </c>
      <c r="B688" s="374" t="s">
        <v>1253</v>
      </c>
      <c r="C688" s="283">
        <v>90</v>
      </c>
      <c r="D688" s="374" t="s">
        <v>868</v>
      </c>
      <c r="H688" s="374" t="s">
        <v>388</v>
      </c>
      <c r="I688" s="283">
        <f>K687</f>
        <v>483.95</v>
      </c>
      <c r="J688" s="374">
        <f>C20*0.05</f>
        <v>7.96</v>
      </c>
      <c r="K688" s="751">
        <f>I688+J688</f>
        <v>491.91</v>
      </c>
      <c r="O688" s="748" t="s">
        <v>1586</v>
      </c>
      <c r="S688" s="790" t="s">
        <v>657</v>
      </c>
      <c r="U688" s="283" t="s">
        <v>4006</v>
      </c>
      <c r="V688" s="790" t="s">
        <v>657</v>
      </c>
      <c r="W688" s="744"/>
      <c r="X688" s="283">
        <f>X687*0.5%</f>
        <v>42.43</v>
      </c>
      <c r="Y688" s="283">
        <f>Y687*0.5/100</f>
        <v>41.96</v>
      </c>
      <c r="AE688" s="283" t="str">
        <f t="shared" si="96"/>
        <v>|</v>
      </c>
      <c r="AF688" s="283">
        <f>AF687/185.82</f>
        <v>44.16</v>
      </c>
      <c r="AG688" s="374" t="s">
        <v>2259</v>
      </c>
    </row>
    <row r="689" spans="1:33" ht="30.75" customHeight="1">
      <c r="A689" s="792">
        <f t="shared" si="85"/>
        <v>486</v>
      </c>
      <c r="B689" s="374" t="s">
        <v>1254</v>
      </c>
      <c r="C689" s="283">
        <v>60</v>
      </c>
      <c r="D689" s="374" t="s">
        <v>868</v>
      </c>
      <c r="H689" s="374" t="s">
        <v>2232</v>
      </c>
      <c r="I689" s="283">
        <f>K688</f>
        <v>491.91</v>
      </c>
      <c r="J689" s="374">
        <f>J688</f>
        <v>7.96</v>
      </c>
      <c r="K689" s="751">
        <f>I689+J689</f>
        <v>499.87</v>
      </c>
      <c r="M689" s="283">
        <v>1</v>
      </c>
      <c r="N689" s="374" t="s">
        <v>868</v>
      </c>
      <c r="O689" s="374" t="s">
        <v>1084</v>
      </c>
      <c r="P689" s="283">
        <f>(C385)</f>
        <v>17.579999999999998</v>
      </c>
      <c r="Q689" s="374" t="s">
        <v>868</v>
      </c>
      <c r="R689" s="283">
        <f>(M689*P689)</f>
        <v>17.579999999999998</v>
      </c>
      <c r="U689" s="751" t="s">
        <v>3588</v>
      </c>
      <c r="W689" s="744"/>
      <c r="X689" s="751">
        <f>SUM(X687:X688)</f>
        <v>8527.77</v>
      </c>
      <c r="Y689" s="751">
        <f>SUM(Y687:Y688)</f>
        <v>8433.1</v>
      </c>
      <c r="Z689" s="791" t="s">
        <v>4016</v>
      </c>
      <c r="AE689" s="283" t="str">
        <f t="shared" si="96"/>
        <v>|</v>
      </c>
      <c r="AF689" s="283">
        <f>AF687/1000</f>
        <v>8.2100000000000009</v>
      </c>
      <c r="AG689" s="374" t="s">
        <v>2259</v>
      </c>
    </row>
    <row r="690" spans="1:33" ht="17.25" customHeight="1">
      <c r="A690" s="792">
        <f t="shared" si="85"/>
        <v>487</v>
      </c>
      <c r="B690" s="374" t="s">
        <v>1085</v>
      </c>
      <c r="C690" s="283">
        <v>43.5</v>
      </c>
      <c r="D690" s="374" t="s">
        <v>868</v>
      </c>
      <c r="H690" s="374" t="s">
        <v>380</v>
      </c>
      <c r="I690" s="283">
        <f>K689</f>
        <v>499.87</v>
      </c>
      <c r="J690" s="374">
        <f>J689</f>
        <v>7.96</v>
      </c>
      <c r="K690" s="751">
        <f>I690+J690</f>
        <v>507.83</v>
      </c>
      <c r="N690" s="374" t="s">
        <v>449</v>
      </c>
      <c r="O690" s="374" t="s">
        <v>136</v>
      </c>
      <c r="Q690" s="374" t="s">
        <v>449</v>
      </c>
      <c r="R690" s="283">
        <v>2.09</v>
      </c>
      <c r="W690" s="744"/>
      <c r="X690" s="748" t="s">
        <v>1586</v>
      </c>
      <c r="AE690" s="283" t="str">
        <f t="shared" si="96"/>
        <v>|</v>
      </c>
      <c r="AF690" s="283">
        <f>185.82*10.764</f>
        <v>2000.17</v>
      </c>
      <c r="AG690" s="374" t="s">
        <v>2259</v>
      </c>
    </row>
    <row r="691" spans="1:33" ht="24" customHeight="1">
      <c r="A691" s="792">
        <f t="shared" si="85"/>
        <v>488</v>
      </c>
      <c r="B691" s="374" t="s">
        <v>247</v>
      </c>
      <c r="C691" s="283">
        <v>75</v>
      </c>
      <c r="D691" s="374" t="s">
        <v>868</v>
      </c>
      <c r="H691" s="374" t="s">
        <v>1364</v>
      </c>
      <c r="I691" s="283">
        <f>K690</f>
        <v>507.83</v>
      </c>
      <c r="J691" s="374">
        <f>J690</f>
        <v>7.96</v>
      </c>
      <c r="K691" s="751">
        <f>I691+J691</f>
        <v>515.79</v>
      </c>
      <c r="O691" s="374" t="s">
        <v>138</v>
      </c>
      <c r="R691" s="374" t="s">
        <v>975</v>
      </c>
      <c r="U691" s="374" t="s">
        <v>386</v>
      </c>
      <c r="W691" s="744"/>
      <c r="X691" s="751">
        <f>(X689+C22)</f>
        <v>8647.6200000000008</v>
      </c>
      <c r="AE691" s="283" t="str">
        <f t="shared" si="96"/>
        <v>|</v>
      </c>
      <c r="AF691" s="283">
        <f>AF687/AF690</f>
        <v>4.0999999999999996</v>
      </c>
      <c r="AG691" s="374" t="s">
        <v>2259</v>
      </c>
    </row>
    <row r="692" spans="1:33" ht="24" customHeight="1">
      <c r="A692" s="792">
        <f t="shared" si="85"/>
        <v>489</v>
      </c>
      <c r="B692" s="374" t="s">
        <v>2025</v>
      </c>
      <c r="C692" s="283">
        <v>52</v>
      </c>
      <c r="D692" s="374" t="s">
        <v>868</v>
      </c>
      <c r="F692" s="744" t="s">
        <v>1816</v>
      </c>
      <c r="H692" s="374" t="s">
        <v>759</v>
      </c>
      <c r="R692" s="748" t="s">
        <v>1586</v>
      </c>
      <c r="U692" s="374" t="s">
        <v>388</v>
      </c>
      <c r="W692" s="744"/>
      <c r="X692" s="751">
        <f>(X691+C24)</f>
        <v>8883.7199999999993</v>
      </c>
      <c r="AE692" s="283" t="str">
        <f t="shared" si="96"/>
        <v>|</v>
      </c>
      <c r="AF692" s="283">
        <f>924.2/8.21</f>
        <v>112.57</v>
      </c>
      <c r="AG692" s="374" t="s">
        <v>2259</v>
      </c>
    </row>
    <row r="693" spans="1:33" ht="24" customHeight="1">
      <c r="A693" s="792">
        <f t="shared" si="85"/>
        <v>490</v>
      </c>
      <c r="B693" s="374" t="s">
        <v>1182</v>
      </c>
      <c r="C693" s="283">
        <v>35.25</v>
      </c>
      <c r="D693" s="374" t="s">
        <v>868</v>
      </c>
      <c r="H693" s="374" t="s">
        <v>1818</v>
      </c>
      <c r="O693" s="374" t="s">
        <v>1565</v>
      </c>
      <c r="R693" s="283">
        <f>SUM(R689:R691)</f>
        <v>19.670000000000002</v>
      </c>
      <c r="U693" s="374" t="s">
        <v>2232</v>
      </c>
      <c r="W693" s="744"/>
      <c r="X693" s="751">
        <f>(X692+C24)</f>
        <v>9119.82</v>
      </c>
      <c r="AE693" s="283" t="str">
        <f t="shared" si="96"/>
        <v>|</v>
      </c>
      <c r="AG693" s="374" t="s">
        <v>2259</v>
      </c>
    </row>
    <row r="694" spans="1:33" ht="24" customHeight="1">
      <c r="A694" s="792">
        <f t="shared" si="85"/>
        <v>491</v>
      </c>
      <c r="B694" s="374" t="s">
        <v>927</v>
      </c>
      <c r="C694" s="283">
        <v>37.5</v>
      </c>
      <c r="D694" s="374" t="s">
        <v>868</v>
      </c>
      <c r="H694" s="374" t="s">
        <v>334</v>
      </c>
      <c r="R694" s="748" t="s">
        <v>1586</v>
      </c>
      <c r="U694" s="374" t="s">
        <v>380</v>
      </c>
      <c r="W694" s="744"/>
      <c r="X694" s="751">
        <f>(X693+C24)</f>
        <v>9355.92</v>
      </c>
      <c r="AE694" s="283" t="str">
        <f t="shared" si="96"/>
        <v>|</v>
      </c>
      <c r="AG694" s="374" t="s">
        <v>2259</v>
      </c>
    </row>
    <row r="695" spans="1:33" ht="24" customHeight="1">
      <c r="A695" s="792">
        <f t="shared" si="85"/>
        <v>492</v>
      </c>
      <c r="B695" s="374" t="s">
        <v>928</v>
      </c>
      <c r="C695" s="283">
        <v>24</v>
      </c>
      <c r="D695" s="374" t="s">
        <v>868</v>
      </c>
      <c r="H695" s="374" t="s">
        <v>1503</v>
      </c>
      <c r="O695" s="283" t="s">
        <v>249</v>
      </c>
      <c r="U695" s="374" t="s">
        <v>1532</v>
      </c>
      <c r="W695" s="744"/>
      <c r="X695" s="751">
        <f>(X694+C24)</f>
        <v>9592.02</v>
      </c>
      <c r="AE695" s="283" t="str">
        <f t="shared" si="96"/>
        <v>|</v>
      </c>
      <c r="AG695" s="374" t="s">
        <v>2259</v>
      </c>
    </row>
    <row r="696" spans="1:33" ht="24" customHeight="1">
      <c r="A696" s="792">
        <f t="shared" si="85"/>
        <v>493</v>
      </c>
      <c r="B696" s="374" t="s">
        <v>929</v>
      </c>
      <c r="C696" s="283">
        <v>16</v>
      </c>
      <c r="D696" s="374" t="s">
        <v>868</v>
      </c>
      <c r="H696" s="374" t="s">
        <v>170</v>
      </c>
      <c r="N696" s="374" t="s">
        <v>2251</v>
      </c>
      <c r="O696" s="374" t="s">
        <v>481</v>
      </c>
      <c r="W696" s="744"/>
      <c r="X696" s="283">
        <f>X695+C24</f>
        <v>9828.1200000000008</v>
      </c>
      <c r="AE696" s="283" t="str">
        <f t="shared" si="96"/>
        <v>|</v>
      </c>
      <c r="AG696" s="374" t="s">
        <v>2259</v>
      </c>
    </row>
    <row r="697" spans="1:33" ht="24" customHeight="1">
      <c r="A697" s="792">
        <f t="shared" si="85"/>
        <v>494</v>
      </c>
      <c r="B697" s="374" t="s">
        <v>5301</v>
      </c>
      <c r="C697" s="283">
        <v>32.1</v>
      </c>
      <c r="D697" s="374" t="s">
        <v>868</v>
      </c>
      <c r="H697" s="374" t="s">
        <v>172</v>
      </c>
      <c r="O697" s="374" t="s">
        <v>1602</v>
      </c>
      <c r="W697" s="744"/>
      <c r="X697" s="283">
        <f>X696+C24</f>
        <v>10064.219999999999</v>
      </c>
      <c r="AE697" s="283" t="str">
        <f t="shared" si="96"/>
        <v>|</v>
      </c>
      <c r="AG697" s="374" t="s">
        <v>2259</v>
      </c>
    </row>
    <row r="698" spans="1:33" ht="24" customHeight="1">
      <c r="A698" s="792">
        <f t="shared" si="85"/>
        <v>495</v>
      </c>
      <c r="B698" s="374" t="s">
        <v>3878</v>
      </c>
      <c r="C698" s="283">
        <v>6</v>
      </c>
      <c r="D698" s="374" t="s">
        <v>868</v>
      </c>
      <c r="H698" s="374" t="s">
        <v>2070</v>
      </c>
      <c r="O698" s="748" t="s">
        <v>1586</v>
      </c>
      <c r="W698" s="744"/>
      <c r="X698" s="283">
        <f>X697+C24</f>
        <v>10300.32</v>
      </c>
      <c r="AE698" s="283" t="str">
        <f t="shared" si="96"/>
        <v>|</v>
      </c>
      <c r="AG698" s="374" t="s">
        <v>2259</v>
      </c>
    </row>
    <row r="699" spans="1:33" ht="24" customHeight="1">
      <c r="A699" s="792">
        <f t="shared" si="85"/>
        <v>496</v>
      </c>
      <c r="B699" s="374" t="s">
        <v>126</v>
      </c>
      <c r="C699" s="283">
        <v>152.5</v>
      </c>
      <c r="D699" s="374" t="s">
        <v>1771</v>
      </c>
      <c r="E699" s="283">
        <v>98.6</v>
      </c>
      <c r="F699" s="283" t="s">
        <v>4591</v>
      </c>
      <c r="H699" s="748" t="s">
        <v>1586</v>
      </c>
      <c r="I699" s="748" t="s">
        <v>1586</v>
      </c>
      <c r="M699" s="283">
        <v>1</v>
      </c>
      <c r="N699" s="374" t="s">
        <v>868</v>
      </c>
      <c r="O699" s="374" t="s">
        <v>485</v>
      </c>
      <c r="P699" s="283">
        <f>(C386)</f>
        <v>19.3</v>
      </c>
      <c r="Q699" s="374" t="s">
        <v>868</v>
      </c>
      <c r="R699" s="283">
        <f>(M699*P699)</f>
        <v>19.3</v>
      </c>
      <c r="W699" s="744"/>
      <c r="X699" s="283">
        <f>X698+C24</f>
        <v>10536.42</v>
      </c>
      <c r="AE699" s="283" t="str">
        <f t="shared" si="96"/>
        <v>|</v>
      </c>
      <c r="AG699" s="374" t="s">
        <v>2259</v>
      </c>
    </row>
    <row r="700" spans="1:33" ht="24" customHeight="1">
      <c r="A700" s="792">
        <f t="shared" si="85"/>
        <v>497</v>
      </c>
      <c r="B700" s="374" t="s">
        <v>5302</v>
      </c>
      <c r="C700" s="283">
        <v>366</v>
      </c>
      <c r="D700" s="374" t="s">
        <v>868</v>
      </c>
      <c r="F700" s="283">
        <v>1</v>
      </c>
      <c r="G700" s="283" t="s">
        <v>609</v>
      </c>
      <c r="H700" s="374" t="s">
        <v>926</v>
      </c>
      <c r="I700" s="283">
        <f>C77</f>
        <v>460</v>
      </c>
      <c r="J700" s="374" t="s">
        <v>609</v>
      </c>
      <c r="K700" s="283">
        <f>(F700*I700)</f>
        <v>460</v>
      </c>
      <c r="N700" s="374" t="s">
        <v>449</v>
      </c>
      <c r="O700" s="374" t="s">
        <v>136</v>
      </c>
      <c r="Q700" s="374" t="s">
        <v>449</v>
      </c>
      <c r="R700" s="283">
        <v>2.09</v>
      </c>
      <c r="W700" s="744"/>
      <c r="X700" s="283">
        <f>X699+C24</f>
        <v>10772.52</v>
      </c>
      <c r="AE700" s="283" t="str">
        <f t="shared" si="96"/>
        <v>|</v>
      </c>
      <c r="AG700" s="374" t="s">
        <v>2259</v>
      </c>
    </row>
    <row r="701" spans="1:33" ht="24" customHeight="1">
      <c r="A701" s="792">
        <f t="shared" si="85"/>
        <v>498</v>
      </c>
      <c r="B701" s="374" t="s">
        <v>548</v>
      </c>
      <c r="C701" s="283">
        <v>256</v>
      </c>
      <c r="D701" s="374" t="s">
        <v>868</v>
      </c>
      <c r="F701" s="283">
        <v>1</v>
      </c>
      <c r="G701" s="283" t="s">
        <v>609</v>
      </c>
      <c r="H701" s="374" t="s">
        <v>1438</v>
      </c>
      <c r="I701" s="283">
        <f>C76</f>
        <v>175</v>
      </c>
      <c r="J701" s="374" t="s">
        <v>609</v>
      </c>
      <c r="K701" s="283">
        <f>(F701*I701)</f>
        <v>175</v>
      </c>
      <c r="O701" s="374" t="s">
        <v>138</v>
      </c>
      <c r="R701" s="374" t="s">
        <v>975</v>
      </c>
      <c r="W701" s="744"/>
      <c r="X701" s="283">
        <f>X700+C24</f>
        <v>11008.62</v>
      </c>
      <c r="AE701" s="283" t="str">
        <f t="shared" si="96"/>
        <v>|</v>
      </c>
      <c r="AG701" s="374" t="s">
        <v>2259</v>
      </c>
    </row>
    <row r="702" spans="1:33" ht="24" customHeight="1">
      <c r="A702" s="792">
        <f t="shared" si="85"/>
        <v>499</v>
      </c>
      <c r="B702" s="374" t="s">
        <v>549</v>
      </c>
      <c r="C702" s="283">
        <v>768.6</v>
      </c>
      <c r="D702" s="374" t="s">
        <v>868</v>
      </c>
      <c r="F702" s="283">
        <v>1</v>
      </c>
      <c r="G702" s="283" t="s">
        <v>449</v>
      </c>
      <c r="H702" s="374" t="s">
        <v>1599</v>
      </c>
      <c r="I702" s="283">
        <v>15</v>
      </c>
      <c r="J702" s="374" t="s">
        <v>449</v>
      </c>
      <c r="K702" s="283">
        <f>(F702*I702)</f>
        <v>15</v>
      </c>
      <c r="R702" s="748" t="s">
        <v>1586</v>
      </c>
      <c r="W702" s="744"/>
      <c r="X702" s="283">
        <f>X701+C24</f>
        <v>11244.72</v>
      </c>
      <c r="AE702" s="283" t="str">
        <f t="shared" si="96"/>
        <v>|</v>
      </c>
      <c r="AG702" s="374" t="s">
        <v>2259</v>
      </c>
    </row>
    <row r="703" spans="1:33" ht="24" customHeight="1">
      <c r="A703" s="792">
        <f t="shared" si="85"/>
        <v>500</v>
      </c>
      <c r="B703" s="374" t="s">
        <v>550</v>
      </c>
      <c r="C703" s="283">
        <v>129</v>
      </c>
      <c r="D703" s="374" t="s">
        <v>868</v>
      </c>
      <c r="H703" s="374" t="s">
        <v>450</v>
      </c>
      <c r="J703" s="374" t="s">
        <v>449</v>
      </c>
      <c r="K703" s="283">
        <v>0</v>
      </c>
      <c r="O703" s="374" t="s">
        <v>1565</v>
      </c>
      <c r="R703" s="283">
        <f>SUM(R699:R701)</f>
        <v>21.39</v>
      </c>
      <c r="W703" s="744"/>
      <c r="X703" s="283">
        <f>X702+C24</f>
        <v>11480.82</v>
      </c>
      <c r="AE703" s="283" t="str">
        <f t="shared" si="96"/>
        <v>|</v>
      </c>
      <c r="AG703" s="374" t="s">
        <v>2259</v>
      </c>
    </row>
    <row r="704" spans="1:33" ht="24" customHeight="1">
      <c r="A704" s="792">
        <f>(A703+1)</f>
        <v>501</v>
      </c>
      <c r="B704" s="374" t="s">
        <v>186</v>
      </c>
      <c r="C704" s="283">
        <v>515.54999999999995</v>
      </c>
      <c r="D704" s="374" t="s">
        <v>868</v>
      </c>
      <c r="K704" s="748" t="s">
        <v>1586</v>
      </c>
      <c r="R704" s="748" t="s">
        <v>1586</v>
      </c>
      <c r="W704" s="744"/>
      <c r="AE704" s="283" t="str">
        <f t="shared" si="96"/>
        <v>|</v>
      </c>
      <c r="AG704" s="374" t="s">
        <v>2259</v>
      </c>
    </row>
    <row r="705" spans="1:33" ht="24" customHeight="1">
      <c r="B705" s="283" t="s">
        <v>5303</v>
      </c>
      <c r="C705" s="283">
        <v>3325</v>
      </c>
      <c r="D705" s="283" t="s">
        <v>609</v>
      </c>
      <c r="H705" s="374" t="s">
        <v>552</v>
      </c>
      <c r="K705" s="283">
        <f>SUM(K700:K703)</f>
        <v>650</v>
      </c>
      <c r="U705" s="751" t="s">
        <v>3992</v>
      </c>
      <c r="W705" s="744"/>
      <c r="AE705" s="283" t="str">
        <f t="shared" si="96"/>
        <v>|</v>
      </c>
      <c r="AG705" s="374" t="s">
        <v>2259</v>
      </c>
    </row>
    <row r="706" spans="1:33" ht="24" customHeight="1">
      <c r="A706" s="792">
        <f>(A704+1)</f>
        <v>502</v>
      </c>
      <c r="B706" s="374" t="s">
        <v>187</v>
      </c>
      <c r="C706" s="283">
        <v>254</v>
      </c>
      <c r="D706" s="374" t="s">
        <v>868</v>
      </c>
      <c r="H706" s="374" t="s">
        <v>1581</v>
      </c>
      <c r="K706" s="748" t="s">
        <v>2055</v>
      </c>
      <c r="S706" s="746">
        <v>5</v>
      </c>
      <c r="T706" s="283" t="s">
        <v>1341</v>
      </c>
      <c r="U706" s="283" t="s">
        <v>6095</v>
      </c>
      <c r="V706" s="283">
        <f>AC14</f>
        <v>1582.2</v>
      </c>
      <c r="W706" s="744"/>
      <c r="X706" s="283">
        <f>V706*S706</f>
        <v>7911</v>
      </c>
      <c r="Z706" s="283">
        <f>X706</f>
        <v>7911</v>
      </c>
      <c r="AE706" s="283" t="str">
        <f t="shared" si="96"/>
        <v>|</v>
      </c>
      <c r="AG706" s="374" t="s">
        <v>2259</v>
      </c>
    </row>
    <row r="707" spans="1:33" ht="24" customHeight="1">
      <c r="A707" s="792">
        <f t="shared" ref="A707:A764" si="97">(A706+1)</f>
        <v>503</v>
      </c>
      <c r="B707" s="374" t="s">
        <v>188</v>
      </c>
      <c r="C707" s="283">
        <v>315</v>
      </c>
      <c r="D707" s="374" t="s">
        <v>868</v>
      </c>
      <c r="H707" s="374" t="s">
        <v>386</v>
      </c>
      <c r="I707" s="283">
        <f>K705</f>
        <v>650</v>
      </c>
      <c r="J707" s="374">
        <f>C19*0.11</f>
        <v>8.68</v>
      </c>
      <c r="K707" s="751">
        <f>I707+J707</f>
        <v>658.68</v>
      </c>
      <c r="N707" s="374" t="s">
        <v>2251</v>
      </c>
      <c r="O707" s="374" t="s">
        <v>1452</v>
      </c>
      <c r="S707" s="746">
        <v>3.3</v>
      </c>
      <c r="T707" s="283" t="s">
        <v>1341</v>
      </c>
      <c r="U707" s="283" t="s">
        <v>6096</v>
      </c>
      <c r="V707" s="283">
        <f>(AC12+AC13)/2</f>
        <v>1292.2</v>
      </c>
      <c r="W707" s="744"/>
      <c r="X707" s="283">
        <f t="shared" ref="X707:X713" si="98">V707*S707</f>
        <v>4264.26</v>
      </c>
      <c r="Z707" s="283">
        <f t="shared" ref="Z707:Z715" si="99">X707</f>
        <v>4264.26</v>
      </c>
      <c r="AE707" s="283" t="str">
        <f t="shared" si="96"/>
        <v>|</v>
      </c>
      <c r="AG707" s="374" t="s">
        <v>2259</v>
      </c>
    </row>
    <row r="708" spans="1:33" ht="24" customHeight="1">
      <c r="A708" s="792">
        <f t="shared" si="97"/>
        <v>504</v>
      </c>
      <c r="B708" s="374" t="s">
        <v>1453</v>
      </c>
      <c r="C708" s="283">
        <v>306</v>
      </c>
      <c r="D708" s="374" t="s">
        <v>868</v>
      </c>
      <c r="H708" s="374" t="s">
        <v>388</v>
      </c>
      <c r="I708" s="283">
        <f>K707</f>
        <v>658.68</v>
      </c>
      <c r="J708" s="374">
        <f>C20*0.11</f>
        <v>17.510000000000002</v>
      </c>
      <c r="K708" s="751">
        <f>I708+J708</f>
        <v>676.19</v>
      </c>
      <c r="O708" s="374" t="s">
        <v>1455</v>
      </c>
      <c r="S708" s="746">
        <v>4.79</v>
      </c>
      <c r="T708" s="283" t="s">
        <v>1341</v>
      </c>
      <c r="U708" s="283" t="s">
        <v>6097</v>
      </c>
      <c r="V708" s="283">
        <f>V645</f>
        <v>2074.06</v>
      </c>
      <c r="W708" s="744"/>
      <c r="X708" s="283">
        <f t="shared" si="98"/>
        <v>9934.75</v>
      </c>
      <c r="Z708" s="283">
        <f t="shared" si="99"/>
        <v>9934.75</v>
      </c>
      <c r="AE708" s="283" t="str">
        <f t="shared" si="96"/>
        <v>|</v>
      </c>
      <c r="AG708" s="374" t="s">
        <v>2259</v>
      </c>
    </row>
    <row r="709" spans="1:33" ht="24" customHeight="1">
      <c r="A709" s="792">
        <f t="shared" si="97"/>
        <v>505</v>
      </c>
      <c r="B709" s="374" t="s">
        <v>1456</v>
      </c>
      <c r="C709" s="283">
        <v>274</v>
      </c>
      <c r="D709" s="374" t="s">
        <v>868</v>
      </c>
      <c r="H709" s="374" t="s">
        <v>2232</v>
      </c>
      <c r="I709" s="283">
        <f>K708</f>
        <v>676.19</v>
      </c>
      <c r="J709" s="374">
        <f>J708</f>
        <v>17.510000000000002</v>
      </c>
      <c r="K709" s="751">
        <f>I709+J709</f>
        <v>693.7</v>
      </c>
      <c r="O709" s="748" t="s">
        <v>1586</v>
      </c>
      <c r="S709" s="746">
        <v>3.25</v>
      </c>
      <c r="T709" s="283" t="s">
        <v>528</v>
      </c>
      <c r="U709" s="283" t="s">
        <v>390</v>
      </c>
      <c r="V709" s="283">
        <f>V644</f>
        <v>6040</v>
      </c>
      <c r="W709" s="744"/>
      <c r="X709" s="283">
        <f t="shared" si="98"/>
        <v>19630</v>
      </c>
      <c r="Z709" s="283">
        <f t="shared" si="99"/>
        <v>19630</v>
      </c>
      <c r="AE709" s="283" t="str">
        <f t="shared" si="96"/>
        <v>|</v>
      </c>
      <c r="AG709" s="374" t="s">
        <v>2259</v>
      </c>
    </row>
    <row r="710" spans="1:33" ht="30.75" customHeight="1">
      <c r="A710" s="792">
        <f t="shared" si="97"/>
        <v>506</v>
      </c>
      <c r="B710" s="374" t="s">
        <v>1213</v>
      </c>
      <c r="C710" s="283">
        <v>266</v>
      </c>
      <c r="D710" s="374" t="s">
        <v>868</v>
      </c>
      <c r="H710" s="374" t="s">
        <v>380</v>
      </c>
      <c r="I710" s="283">
        <f>K709</f>
        <v>693.7</v>
      </c>
      <c r="J710" s="374">
        <f>J709</f>
        <v>17.510000000000002</v>
      </c>
      <c r="K710" s="751">
        <f>I710+J710</f>
        <v>711.21</v>
      </c>
      <c r="M710" s="283">
        <v>1</v>
      </c>
      <c r="N710" s="374" t="s">
        <v>868</v>
      </c>
      <c r="O710" s="374" t="s">
        <v>1214</v>
      </c>
      <c r="P710" s="283">
        <f>(C394/1*0.3)</f>
        <v>38.4</v>
      </c>
      <c r="Q710" s="374" t="s">
        <v>868</v>
      </c>
      <c r="R710" s="283">
        <f>(M710*P710)</f>
        <v>38.4</v>
      </c>
      <c r="S710" s="746">
        <f>3250*0.6%</f>
        <v>19.5</v>
      </c>
      <c r="T710" s="283" t="s">
        <v>1645</v>
      </c>
      <c r="U710" s="770" t="s">
        <v>4002</v>
      </c>
      <c r="V710" s="283">
        <f>V649</f>
        <v>43.2</v>
      </c>
      <c r="W710" s="744"/>
      <c r="X710" s="283">
        <f t="shared" si="98"/>
        <v>842.4</v>
      </c>
      <c r="Z710" s="283">
        <f t="shared" si="99"/>
        <v>842.4</v>
      </c>
      <c r="AE710" s="283" t="str">
        <f t="shared" si="96"/>
        <v>|</v>
      </c>
      <c r="AG710" s="374" t="s">
        <v>2259</v>
      </c>
    </row>
    <row r="711" spans="1:33" ht="24" customHeight="1">
      <c r="A711" s="792">
        <f t="shared" si="97"/>
        <v>507</v>
      </c>
      <c r="B711" s="374" t="s">
        <v>1215</v>
      </c>
      <c r="C711" s="283">
        <v>107.64</v>
      </c>
      <c r="D711" s="374" t="s">
        <v>609</v>
      </c>
      <c r="H711" s="374" t="s">
        <v>1364</v>
      </c>
      <c r="I711" s="283">
        <f>K710</f>
        <v>711.21</v>
      </c>
      <c r="J711" s="374">
        <f>J710</f>
        <v>17.510000000000002</v>
      </c>
      <c r="K711" s="751">
        <f>I711+J711</f>
        <v>728.72</v>
      </c>
      <c r="N711" s="374" t="s">
        <v>449</v>
      </c>
      <c r="O711" s="374" t="s">
        <v>136</v>
      </c>
      <c r="Q711" s="374" t="s">
        <v>449</v>
      </c>
      <c r="R711" s="283">
        <v>1.65</v>
      </c>
      <c r="S711" s="746">
        <v>3.5</v>
      </c>
      <c r="T711" s="283" t="s">
        <v>1432</v>
      </c>
      <c r="U711" s="283" t="s">
        <v>465</v>
      </c>
      <c r="V711" s="283">
        <f>C11</f>
        <v>932</v>
      </c>
      <c r="W711" s="744">
        <f>J720</f>
        <v>0</v>
      </c>
      <c r="X711" s="283">
        <f t="shared" si="98"/>
        <v>3262</v>
      </c>
      <c r="Z711" s="283">
        <f t="shared" si="99"/>
        <v>3262</v>
      </c>
      <c r="AE711" s="283" t="str">
        <f t="shared" si="96"/>
        <v>|</v>
      </c>
      <c r="AG711" s="374" t="s">
        <v>2259</v>
      </c>
    </row>
    <row r="712" spans="1:33" ht="24" customHeight="1">
      <c r="A712" s="792">
        <f t="shared" si="97"/>
        <v>508</v>
      </c>
      <c r="B712" s="374" t="s">
        <v>1217</v>
      </c>
      <c r="F712" s="374" t="s">
        <v>975</v>
      </c>
      <c r="O712" s="374" t="s">
        <v>138</v>
      </c>
      <c r="R712" s="374" t="s">
        <v>975</v>
      </c>
      <c r="S712" s="746">
        <v>21.2</v>
      </c>
      <c r="T712" s="283" t="s">
        <v>1432</v>
      </c>
      <c r="U712" s="283" t="s">
        <v>3463</v>
      </c>
      <c r="V712" s="283">
        <f>C12</f>
        <v>651</v>
      </c>
      <c r="W712" s="744"/>
      <c r="X712" s="283">
        <f t="shared" si="98"/>
        <v>13801.2</v>
      </c>
      <c r="Z712" s="283">
        <f t="shared" si="99"/>
        <v>13801.2</v>
      </c>
      <c r="AE712" s="283" t="str">
        <f t="shared" si="96"/>
        <v>|</v>
      </c>
      <c r="AG712" s="374" t="s">
        <v>2259</v>
      </c>
    </row>
    <row r="713" spans="1:33" ht="24" customHeight="1">
      <c r="A713" s="792">
        <f t="shared" si="97"/>
        <v>509</v>
      </c>
      <c r="B713" s="374" t="s">
        <v>2117</v>
      </c>
      <c r="C713" s="283">
        <v>11.55</v>
      </c>
      <c r="D713" s="374" t="s">
        <v>868</v>
      </c>
      <c r="R713" s="748" t="s">
        <v>1586</v>
      </c>
      <c r="S713" s="746">
        <v>35.299999999999997</v>
      </c>
      <c r="T713" s="283" t="s">
        <v>1432</v>
      </c>
      <c r="U713" s="283" t="s">
        <v>3464</v>
      </c>
      <c r="V713" s="283">
        <f>C13</f>
        <v>534</v>
      </c>
      <c r="W713" s="744"/>
      <c r="X713" s="283">
        <f t="shared" si="98"/>
        <v>18850.2</v>
      </c>
      <c r="Z713" s="283">
        <f t="shared" si="99"/>
        <v>18850.2</v>
      </c>
      <c r="AE713" s="283" t="str">
        <f t="shared" si="96"/>
        <v>|</v>
      </c>
      <c r="AG713" s="374" t="s">
        <v>2259</v>
      </c>
    </row>
    <row r="714" spans="1:33" ht="24" customHeight="1">
      <c r="A714" s="792">
        <f t="shared" si="97"/>
        <v>510</v>
      </c>
      <c r="B714" s="374" t="s">
        <v>1116</v>
      </c>
      <c r="C714" s="283">
        <v>16.399999999999999</v>
      </c>
      <c r="D714" s="374" t="s">
        <v>868</v>
      </c>
      <c r="F714" s="744" t="s">
        <v>1355</v>
      </c>
      <c r="H714" s="374" t="s">
        <v>189</v>
      </c>
      <c r="O714" s="374" t="s">
        <v>1565</v>
      </c>
      <c r="R714" s="283">
        <f>SUM(R710:R712)</f>
        <v>40.049999999999997</v>
      </c>
      <c r="U714" s="283" t="s">
        <v>4003</v>
      </c>
      <c r="V714" s="283">
        <f>V684</f>
        <v>0</v>
      </c>
      <c r="W714" s="744"/>
      <c r="X714" s="751">
        <f>SUM(X706:X713)</f>
        <v>78495.81</v>
      </c>
      <c r="Z714" s="283">
        <f t="shared" si="99"/>
        <v>78495.81</v>
      </c>
      <c r="AE714" s="283" t="str">
        <f t="shared" si="96"/>
        <v>|</v>
      </c>
      <c r="AG714" s="374" t="s">
        <v>2259</v>
      </c>
    </row>
    <row r="715" spans="1:33" ht="27" customHeight="1">
      <c r="A715" s="792">
        <f t="shared" si="97"/>
        <v>511</v>
      </c>
      <c r="B715" s="374" t="s">
        <v>1117</v>
      </c>
      <c r="C715" s="283">
        <v>27.85</v>
      </c>
      <c r="D715" s="374" t="s">
        <v>868</v>
      </c>
      <c r="H715" s="374" t="s">
        <v>1454</v>
      </c>
      <c r="R715" s="748" t="s">
        <v>1586</v>
      </c>
      <c r="U715" s="283" t="s">
        <v>4004</v>
      </c>
      <c r="V715" s="283">
        <f>V685</f>
        <v>0</v>
      </c>
      <c r="W715" s="744"/>
      <c r="X715" s="751">
        <f>X714/10</f>
        <v>7849.58</v>
      </c>
      <c r="Z715" s="283">
        <f t="shared" si="99"/>
        <v>7849.58</v>
      </c>
      <c r="AE715" s="283" t="str">
        <f t="shared" si="96"/>
        <v>|</v>
      </c>
      <c r="AG715" s="374" t="s">
        <v>2259</v>
      </c>
    </row>
    <row r="716" spans="1:33" ht="24" customHeight="1">
      <c r="A716" s="792">
        <f t="shared" si="97"/>
        <v>512</v>
      </c>
      <c r="B716" s="374" t="s">
        <v>1118</v>
      </c>
      <c r="C716" s="283">
        <v>49.9</v>
      </c>
      <c r="D716" s="374" t="s">
        <v>868</v>
      </c>
      <c r="H716" s="374" t="s">
        <v>1457</v>
      </c>
      <c r="O716" s="744" t="s">
        <v>662</v>
      </c>
      <c r="R716" s="374" t="s">
        <v>975</v>
      </c>
      <c r="S716" s="746">
        <v>1</v>
      </c>
      <c r="T716" s="283" t="s">
        <v>1341</v>
      </c>
      <c r="U716" s="283" t="s">
        <v>4030</v>
      </c>
      <c r="V716" s="283">
        <f>C25</f>
        <v>94.2</v>
      </c>
      <c r="W716" s="744"/>
      <c r="X716" s="283">
        <f>V716*S716</f>
        <v>94.2</v>
      </c>
      <c r="AE716" s="283" t="str">
        <f t="shared" si="96"/>
        <v>|</v>
      </c>
      <c r="AG716" s="374" t="s">
        <v>2259</v>
      </c>
    </row>
    <row r="717" spans="1:33" ht="24" customHeight="1">
      <c r="A717" s="792">
        <f t="shared" si="97"/>
        <v>513</v>
      </c>
      <c r="B717" s="374" t="s">
        <v>1120</v>
      </c>
      <c r="C717" s="283">
        <v>69.25</v>
      </c>
      <c r="D717" s="374" t="s">
        <v>868</v>
      </c>
      <c r="H717" s="748" t="s">
        <v>1586</v>
      </c>
      <c r="M717" s="783"/>
      <c r="O717" s="744" t="s">
        <v>2084</v>
      </c>
      <c r="U717" s="283" t="s">
        <v>4005</v>
      </c>
      <c r="V717" s="283">
        <f>V687</f>
        <v>0</v>
      </c>
      <c r="W717" s="744"/>
      <c r="X717" s="751">
        <f>SUM(X715:X716)</f>
        <v>7943.78</v>
      </c>
      <c r="Z717" s="283">
        <f>Z715</f>
        <v>7849.58</v>
      </c>
      <c r="AE717" s="283" t="str">
        <f t="shared" si="96"/>
        <v>|</v>
      </c>
      <c r="AG717" s="374" t="s">
        <v>2259</v>
      </c>
    </row>
    <row r="718" spans="1:33" ht="24" customHeight="1">
      <c r="A718" s="792">
        <f t="shared" si="97"/>
        <v>514</v>
      </c>
      <c r="B718" s="374" t="s">
        <v>1906</v>
      </c>
      <c r="D718" s="374" t="s">
        <v>975</v>
      </c>
      <c r="F718" s="283">
        <v>0.4</v>
      </c>
      <c r="G718" s="283" t="s">
        <v>869</v>
      </c>
      <c r="H718" s="374" t="s">
        <v>1216</v>
      </c>
      <c r="I718" s="283">
        <f>(C269)</f>
        <v>17600</v>
      </c>
      <c r="J718" s="374" t="s">
        <v>869</v>
      </c>
      <c r="K718" s="283">
        <f>(F718*I718)</f>
        <v>7040</v>
      </c>
      <c r="M718" s="744" t="s">
        <v>1539</v>
      </c>
      <c r="N718" s="374" t="s">
        <v>1907</v>
      </c>
      <c r="O718" s="374" t="s">
        <v>330</v>
      </c>
      <c r="S718" s="790" t="s">
        <v>657</v>
      </c>
      <c r="U718" s="283" t="s">
        <v>4006</v>
      </c>
      <c r="V718" s="283" t="str">
        <f>V688</f>
        <v>LS</v>
      </c>
      <c r="W718" s="744"/>
      <c r="X718" s="283">
        <f>X717*0.5%</f>
        <v>39.72</v>
      </c>
      <c r="Z718" s="283">
        <f>Z717*0.5/100</f>
        <v>39.25</v>
      </c>
      <c r="AE718" s="283" t="str">
        <f t="shared" si="96"/>
        <v>|::</v>
      </c>
      <c r="AG718" s="374" t="s">
        <v>321</v>
      </c>
    </row>
    <row r="719" spans="1:33" ht="24" customHeight="1">
      <c r="A719" s="792">
        <f t="shared" si="97"/>
        <v>515</v>
      </c>
      <c r="B719" s="374" t="s">
        <v>241</v>
      </c>
      <c r="C719" s="283">
        <v>20</v>
      </c>
      <c r="D719" s="374" t="s">
        <v>868</v>
      </c>
      <c r="F719" s="283">
        <v>0.12</v>
      </c>
      <c r="G719" s="283" t="s">
        <v>869</v>
      </c>
      <c r="H719" s="374" t="s">
        <v>1174</v>
      </c>
      <c r="I719" s="283">
        <f>(C270)</f>
        <v>15500</v>
      </c>
      <c r="J719" s="374" t="s">
        <v>869</v>
      </c>
      <c r="K719" s="283">
        <f>(F719*I719)</f>
        <v>1860</v>
      </c>
      <c r="O719" s="748" t="s">
        <v>1586</v>
      </c>
      <c r="U719" s="751" t="s">
        <v>3588</v>
      </c>
      <c r="W719" s="744"/>
      <c r="X719" s="751">
        <f>SUM(X717:X718)</f>
        <v>7983.5</v>
      </c>
      <c r="Z719" s="751">
        <f>SUM(Z717:Z718)</f>
        <v>7888.83</v>
      </c>
      <c r="AE719" s="283">
        <f t="shared" si="96"/>
        <v>0</v>
      </c>
    </row>
    <row r="720" spans="1:33" ht="24" customHeight="1">
      <c r="A720" s="792">
        <f t="shared" si="97"/>
        <v>516</v>
      </c>
      <c r="B720" s="374" t="s">
        <v>500</v>
      </c>
      <c r="C720" s="283">
        <v>45</v>
      </c>
      <c r="D720" s="374" t="s">
        <v>868</v>
      </c>
      <c r="H720" s="374" t="s">
        <v>2118</v>
      </c>
      <c r="I720" s="374" t="s">
        <v>975</v>
      </c>
      <c r="K720" s="374" t="s">
        <v>975</v>
      </c>
      <c r="M720" s="783">
        <v>2.69E-2</v>
      </c>
      <c r="N720" s="374" t="s">
        <v>869</v>
      </c>
      <c r="O720" s="374" t="s">
        <v>486</v>
      </c>
      <c r="P720" s="283">
        <f>C87</f>
        <v>34300</v>
      </c>
      <c r="Q720" s="374" t="s">
        <v>869</v>
      </c>
      <c r="R720" s="283">
        <f t="shared" ref="R720:R726" si="100">M720*P720</f>
        <v>922.67</v>
      </c>
      <c r="W720" s="744"/>
      <c r="X720" s="748" t="s">
        <v>1586</v>
      </c>
      <c r="AE720" s="283">
        <f t="shared" si="96"/>
        <v>0</v>
      </c>
    </row>
    <row r="721" spans="1:33" ht="24" customHeight="1">
      <c r="A721" s="792">
        <f t="shared" si="97"/>
        <v>517</v>
      </c>
      <c r="B721" s="374" t="s">
        <v>1315</v>
      </c>
      <c r="D721" s="374" t="s">
        <v>249</v>
      </c>
      <c r="F721" s="283">
        <v>98.5</v>
      </c>
      <c r="G721" s="283" t="s">
        <v>1771</v>
      </c>
      <c r="H721" s="374" t="s">
        <v>1426</v>
      </c>
      <c r="I721" s="283">
        <f>(C271)</f>
        <v>25.2</v>
      </c>
      <c r="J721" s="374" t="s">
        <v>1771</v>
      </c>
      <c r="K721" s="283">
        <f>(F721*I721)</f>
        <v>2482.1999999999998</v>
      </c>
      <c r="M721" s="783">
        <v>1.2949999999999999</v>
      </c>
      <c r="N721" s="374" t="s">
        <v>609</v>
      </c>
      <c r="O721" s="374" t="s">
        <v>1297</v>
      </c>
      <c r="P721" s="283">
        <f>C784</f>
        <v>387.4</v>
      </c>
      <c r="Q721" s="374" t="s">
        <v>609</v>
      </c>
      <c r="R721" s="283">
        <f t="shared" si="100"/>
        <v>501.68</v>
      </c>
      <c r="U721" s="374" t="s">
        <v>386</v>
      </c>
      <c r="W721" s="744"/>
      <c r="X721" s="751">
        <f>(X719+C22)</f>
        <v>8103.35</v>
      </c>
      <c r="AE721" s="283">
        <f t="shared" si="96"/>
        <v>0</v>
      </c>
    </row>
    <row r="722" spans="1:33" ht="24" customHeight="1">
      <c r="A722" s="792">
        <f t="shared" si="97"/>
        <v>518</v>
      </c>
      <c r="B722" s="374" t="s">
        <v>241</v>
      </c>
      <c r="C722" s="283">
        <v>19.09</v>
      </c>
      <c r="D722" s="374" t="s">
        <v>868</v>
      </c>
      <c r="H722" s="374" t="s">
        <v>311</v>
      </c>
      <c r="I722" s="374" t="s">
        <v>975</v>
      </c>
      <c r="K722" s="374" t="s">
        <v>249</v>
      </c>
      <c r="M722" s="783">
        <v>1.8149999999999999</v>
      </c>
      <c r="N722" s="374" t="s">
        <v>609</v>
      </c>
      <c r="O722" s="374" t="s">
        <v>2092</v>
      </c>
      <c r="P722" s="283">
        <f>C31</f>
        <v>1537</v>
      </c>
      <c r="Q722" s="374" t="s">
        <v>609</v>
      </c>
      <c r="R722" s="283">
        <f t="shared" si="100"/>
        <v>2789.66</v>
      </c>
      <c r="U722" s="374" t="s">
        <v>388</v>
      </c>
      <c r="W722" s="744"/>
      <c r="X722" s="751">
        <f>(X721+C24)</f>
        <v>8339.4500000000007</v>
      </c>
      <c r="AE722" s="283" t="str">
        <f t="shared" si="96"/>
        <v>|</v>
      </c>
      <c r="AG722" s="374" t="s">
        <v>2259</v>
      </c>
    </row>
    <row r="723" spans="1:33" ht="24" customHeight="1">
      <c r="A723" s="792">
        <f t="shared" si="97"/>
        <v>519</v>
      </c>
      <c r="B723" s="374" t="s">
        <v>500</v>
      </c>
      <c r="C723" s="283">
        <v>50.66</v>
      </c>
      <c r="D723" s="374" t="s">
        <v>868</v>
      </c>
      <c r="K723" s="748" t="s">
        <v>1586</v>
      </c>
      <c r="M723" s="283">
        <v>2</v>
      </c>
      <c r="N723" s="374" t="s">
        <v>868</v>
      </c>
      <c r="O723" s="374" t="s">
        <v>1723</v>
      </c>
      <c r="P723" s="283">
        <f>C300</f>
        <v>10.5</v>
      </c>
      <c r="Q723" s="374" t="s">
        <v>868</v>
      </c>
      <c r="R723" s="283">
        <f t="shared" si="100"/>
        <v>21</v>
      </c>
      <c r="U723" s="374" t="s">
        <v>2232</v>
      </c>
      <c r="W723" s="744"/>
      <c r="X723" s="751">
        <f>(X722+C24)</f>
        <v>8575.5499999999993</v>
      </c>
      <c r="AE723" s="283" t="str">
        <f t="shared" si="96"/>
        <v>|</v>
      </c>
      <c r="AG723" s="374" t="s">
        <v>2259</v>
      </c>
    </row>
    <row r="724" spans="1:33" ht="24" customHeight="1">
      <c r="A724" s="792">
        <f t="shared" si="97"/>
        <v>520</v>
      </c>
      <c r="B724" s="374" t="s">
        <v>1617</v>
      </c>
      <c r="C724" s="283">
        <v>1183.82</v>
      </c>
      <c r="D724" s="374" t="s">
        <v>609</v>
      </c>
      <c r="H724" s="374" t="s">
        <v>663</v>
      </c>
      <c r="K724" s="283">
        <f>SUM(K718:K722)</f>
        <v>11382.2</v>
      </c>
      <c r="M724" s="283">
        <v>3</v>
      </c>
      <c r="N724" s="374" t="s">
        <v>868</v>
      </c>
      <c r="O724" s="374" t="s">
        <v>1618</v>
      </c>
      <c r="P724" s="283">
        <f>C296</f>
        <v>8.5</v>
      </c>
      <c r="Q724" s="374" t="s">
        <v>868</v>
      </c>
      <c r="R724" s="283">
        <f t="shared" si="100"/>
        <v>25.5</v>
      </c>
      <c r="U724" s="374" t="s">
        <v>380</v>
      </c>
      <c r="W724" s="744"/>
      <c r="X724" s="751">
        <f>(X723+C24)</f>
        <v>8811.65</v>
      </c>
      <c r="AE724" s="283" t="str">
        <f t="shared" si="96"/>
        <v>|</v>
      </c>
      <c r="AG724" s="374" t="s">
        <v>2259</v>
      </c>
    </row>
    <row r="725" spans="1:33" ht="24" customHeight="1">
      <c r="A725" s="792">
        <f t="shared" si="97"/>
        <v>521</v>
      </c>
      <c r="B725" s="374" t="s">
        <v>1619</v>
      </c>
      <c r="C725" s="283">
        <v>1605</v>
      </c>
      <c r="D725" s="374" t="s">
        <v>609</v>
      </c>
      <c r="H725" s="374" t="s">
        <v>975</v>
      </c>
      <c r="K725" s="748" t="s">
        <v>1586</v>
      </c>
      <c r="M725" s="283">
        <v>1</v>
      </c>
      <c r="N725" s="374" t="s">
        <v>868</v>
      </c>
      <c r="O725" s="374" t="s">
        <v>1707</v>
      </c>
      <c r="P725" s="283">
        <f>C302</f>
        <v>21</v>
      </c>
      <c r="Q725" s="374" t="s">
        <v>868</v>
      </c>
      <c r="R725" s="283">
        <f t="shared" si="100"/>
        <v>21</v>
      </c>
      <c r="U725" s="374" t="s">
        <v>1532</v>
      </c>
      <c r="W725" s="744"/>
      <c r="X725" s="751">
        <f>(X724+C24)</f>
        <v>9047.75</v>
      </c>
      <c r="AE725" s="283" t="str">
        <f t="shared" si="96"/>
        <v>|</v>
      </c>
      <c r="AG725" s="374" t="s">
        <v>2259</v>
      </c>
    </row>
    <row r="726" spans="1:33" ht="24" customHeight="1">
      <c r="A726" s="792">
        <f t="shared" si="97"/>
        <v>522</v>
      </c>
      <c r="B726" s="374" t="s">
        <v>5861</v>
      </c>
      <c r="C726" s="784">
        <v>10.050000000000001</v>
      </c>
      <c r="D726" s="374" t="s">
        <v>53</v>
      </c>
      <c r="F726" s="283">
        <v>10</v>
      </c>
      <c r="G726" s="283" t="s">
        <v>609</v>
      </c>
      <c r="H726" s="374" t="s">
        <v>499</v>
      </c>
      <c r="I726" s="283">
        <f>(K724/50)</f>
        <v>227.64</v>
      </c>
      <c r="J726" s="374" t="s">
        <v>609</v>
      </c>
      <c r="K726" s="283">
        <f>(F726*I726)</f>
        <v>2276.4</v>
      </c>
      <c r="M726" s="283">
        <v>1</v>
      </c>
      <c r="N726" s="374" t="s">
        <v>868</v>
      </c>
      <c r="O726" s="374" t="s">
        <v>1980</v>
      </c>
      <c r="P726" s="283">
        <f>C304</f>
        <v>4</v>
      </c>
      <c r="Q726" s="374" t="s">
        <v>868</v>
      </c>
      <c r="R726" s="283">
        <f t="shared" si="100"/>
        <v>4</v>
      </c>
      <c r="W726" s="744"/>
      <c r="AE726" s="283" t="str">
        <f t="shared" si="96"/>
        <v>|</v>
      </c>
      <c r="AG726" s="374" t="s">
        <v>2259</v>
      </c>
    </row>
    <row r="727" spans="1:33" ht="24" customHeight="1">
      <c r="A727" s="792">
        <f t="shared" si="97"/>
        <v>523</v>
      </c>
      <c r="B727" s="374" t="s">
        <v>1717</v>
      </c>
      <c r="C727" s="283">
        <v>147.6</v>
      </c>
      <c r="D727" s="374" t="s">
        <v>1771</v>
      </c>
      <c r="F727" s="283">
        <v>3.8</v>
      </c>
      <c r="G727" s="283" t="s">
        <v>769</v>
      </c>
      <c r="H727" s="374" t="s">
        <v>501</v>
      </c>
      <c r="I727" s="283">
        <f>(C16)</f>
        <v>976</v>
      </c>
      <c r="J727" s="374" t="s">
        <v>769</v>
      </c>
      <c r="K727" s="283">
        <f>(F727*I727)</f>
        <v>3708.8</v>
      </c>
      <c r="N727" s="374" t="s">
        <v>449</v>
      </c>
      <c r="O727" s="374" t="s">
        <v>450</v>
      </c>
      <c r="Q727" s="374" t="s">
        <v>449</v>
      </c>
      <c r="R727" s="283">
        <v>0</v>
      </c>
      <c r="W727" s="744"/>
      <c r="AE727" s="283" t="str">
        <f t="shared" si="96"/>
        <v>|</v>
      </c>
      <c r="AG727" s="374" t="s">
        <v>2259</v>
      </c>
    </row>
    <row r="728" spans="1:33" ht="24" customHeight="1">
      <c r="A728" s="792">
        <f t="shared" si="97"/>
        <v>524</v>
      </c>
      <c r="B728" s="374" t="s">
        <v>1718</v>
      </c>
      <c r="C728" s="283">
        <v>147.6</v>
      </c>
      <c r="D728" s="374" t="s">
        <v>1771</v>
      </c>
      <c r="F728" s="283">
        <v>5.4</v>
      </c>
      <c r="G728" s="283" t="s">
        <v>769</v>
      </c>
      <c r="H728" s="374" t="s">
        <v>1902</v>
      </c>
      <c r="I728" s="283">
        <f>(C12)</f>
        <v>651</v>
      </c>
      <c r="J728" s="374" t="s">
        <v>769</v>
      </c>
      <c r="K728" s="283">
        <f>(F728*I728)</f>
        <v>3515.4</v>
      </c>
      <c r="R728" s="748" t="s">
        <v>1586</v>
      </c>
      <c r="W728" s="744"/>
      <c r="AE728" s="283" t="str">
        <f t="shared" si="96"/>
        <v>|</v>
      </c>
      <c r="AG728" s="374" t="s">
        <v>2259</v>
      </c>
    </row>
    <row r="729" spans="1:33" ht="24" customHeight="1">
      <c r="A729" s="792">
        <f t="shared" si="97"/>
        <v>525</v>
      </c>
      <c r="B729" s="374" t="s">
        <v>1719</v>
      </c>
      <c r="C729" s="283">
        <v>147.6</v>
      </c>
      <c r="D729" s="374" t="s">
        <v>1771</v>
      </c>
      <c r="G729" s="283" t="s">
        <v>449</v>
      </c>
      <c r="H729" s="374" t="s">
        <v>1298</v>
      </c>
      <c r="J729" s="374" t="s">
        <v>449</v>
      </c>
      <c r="K729" s="283">
        <v>5</v>
      </c>
      <c r="O729" s="744" t="s">
        <v>10</v>
      </c>
      <c r="R729" s="283">
        <f>SUM(R720:R727)</f>
        <v>4285.51</v>
      </c>
      <c r="T729" s="751">
        <v>4.2</v>
      </c>
      <c r="U729" s="751" t="s">
        <v>4626</v>
      </c>
      <c r="W729" s="744"/>
      <c r="AE729" s="283" t="str">
        <f t="shared" si="96"/>
        <v>|</v>
      </c>
      <c r="AG729" s="374" t="s">
        <v>2259</v>
      </c>
    </row>
    <row r="730" spans="1:33" ht="24" customHeight="1">
      <c r="A730" s="792">
        <f t="shared" si="97"/>
        <v>526</v>
      </c>
      <c r="B730" s="374" t="s">
        <v>648</v>
      </c>
      <c r="C730" s="283">
        <v>1250</v>
      </c>
      <c r="D730" s="374" t="s">
        <v>609</v>
      </c>
      <c r="K730" s="748" t="s">
        <v>1586</v>
      </c>
      <c r="R730" s="748" t="s">
        <v>1586</v>
      </c>
      <c r="S730" s="746">
        <v>5</v>
      </c>
      <c r="T730" s="283" t="s">
        <v>1341</v>
      </c>
      <c r="U730" s="283" t="s">
        <v>6095</v>
      </c>
      <c r="V730" s="283">
        <f>V676</f>
        <v>1582.2</v>
      </c>
      <c r="W730" s="744"/>
      <c r="X730" s="283">
        <f t="shared" ref="X730:X737" si="101">V730*S730</f>
        <v>7911</v>
      </c>
      <c r="AE730" s="283" t="str">
        <f t="shared" si="96"/>
        <v>|</v>
      </c>
      <c r="AG730" s="374" t="s">
        <v>2259</v>
      </c>
    </row>
    <row r="731" spans="1:33" ht="24" customHeight="1">
      <c r="A731" s="792">
        <f t="shared" si="97"/>
        <v>527</v>
      </c>
      <c r="B731" s="374" t="s">
        <v>650</v>
      </c>
      <c r="C731" s="283">
        <v>1250</v>
      </c>
      <c r="D731" s="374" t="s">
        <v>609</v>
      </c>
      <c r="H731" s="374" t="s">
        <v>441</v>
      </c>
      <c r="K731" s="283">
        <f>SUM(K726:K729)</f>
        <v>9505.6</v>
      </c>
      <c r="N731" s="374" t="s">
        <v>975</v>
      </c>
      <c r="O731" s="744" t="s">
        <v>552</v>
      </c>
      <c r="R731" s="283">
        <f>R729/M721</f>
        <v>3309.27</v>
      </c>
      <c r="S731" s="746">
        <v>3.3</v>
      </c>
      <c r="T731" s="283" t="s">
        <v>1341</v>
      </c>
      <c r="U731" s="283" t="s">
        <v>6096</v>
      </c>
      <c r="V731" s="283">
        <f t="shared" ref="V731:V740" si="102">V677</f>
        <v>1292.2</v>
      </c>
      <c r="W731" s="744"/>
      <c r="X731" s="283">
        <f t="shared" si="101"/>
        <v>4264.26</v>
      </c>
      <c r="AE731" s="283" t="str">
        <f t="shared" si="96"/>
        <v>|</v>
      </c>
      <c r="AG731" s="374" t="s">
        <v>2259</v>
      </c>
    </row>
    <row r="732" spans="1:33" ht="24" customHeight="1">
      <c r="A732" s="792">
        <f t="shared" si="97"/>
        <v>528</v>
      </c>
      <c r="B732" s="374" t="s">
        <v>1235</v>
      </c>
      <c r="C732" s="283">
        <v>1250</v>
      </c>
      <c r="D732" s="374" t="s">
        <v>609</v>
      </c>
      <c r="K732" s="748" t="s">
        <v>1586</v>
      </c>
      <c r="R732" s="748" t="s">
        <v>2055</v>
      </c>
      <c r="S732" s="746">
        <v>4.79</v>
      </c>
      <c r="T732" s="283" t="s">
        <v>1341</v>
      </c>
      <c r="U732" s="283" t="s">
        <v>6097</v>
      </c>
      <c r="V732" s="283">
        <f t="shared" si="102"/>
        <v>2074.06</v>
      </c>
      <c r="W732" s="744"/>
      <c r="X732" s="283">
        <f t="shared" si="101"/>
        <v>9934.75</v>
      </c>
      <c r="AE732" s="283" t="str">
        <f t="shared" si="96"/>
        <v>|</v>
      </c>
      <c r="AG732" s="374" t="s">
        <v>2259</v>
      </c>
    </row>
    <row r="733" spans="1:33" ht="24" customHeight="1">
      <c r="A733" s="792">
        <f t="shared" si="97"/>
        <v>529</v>
      </c>
      <c r="B733" s="374" t="s">
        <v>518</v>
      </c>
      <c r="C733" s="283">
        <v>1250</v>
      </c>
      <c r="D733" s="374" t="s">
        <v>609</v>
      </c>
      <c r="H733" s="374" t="s">
        <v>552</v>
      </c>
      <c r="K733" s="283">
        <f>(K731/10)</f>
        <v>950.56</v>
      </c>
      <c r="M733" s="744" t="s">
        <v>1539</v>
      </c>
      <c r="N733" s="374" t="s">
        <v>520</v>
      </c>
      <c r="O733" s="374" t="s">
        <v>521</v>
      </c>
      <c r="S733" s="746">
        <v>3.5</v>
      </c>
      <c r="T733" s="283" t="s">
        <v>528</v>
      </c>
      <c r="U733" s="283" t="s">
        <v>390</v>
      </c>
      <c r="V733" s="283">
        <f t="shared" si="102"/>
        <v>6040</v>
      </c>
      <c r="W733" s="744"/>
      <c r="X733" s="283">
        <f t="shared" si="101"/>
        <v>21140</v>
      </c>
      <c r="AE733" s="283" t="str">
        <f t="shared" si="96"/>
        <v>|</v>
      </c>
      <c r="AG733" s="374" t="s">
        <v>2259</v>
      </c>
    </row>
    <row r="734" spans="1:33" ht="24" customHeight="1">
      <c r="A734" s="792">
        <f t="shared" si="97"/>
        <v>530</v>
      </c>
      <c r="B734" s="374" t="s">
        <v>522</v>
      </c>
      <c r="C734" s="283">
        <v>1250</v>
      </c>
      <c r="D734" s="374" t="s">
        <v>609</v>
      </c>
      <c r="K734" s="748" t="s">
        <v>2055</v>
      </c>
      <c r="O734" s="748" t="s">
        <v>1586</v>
      </c>
      <c r="S734" s="746">
        <v>28</v>
      </c>
      <c r="T734" s="283" t="s">
        <v>1645</v>
      </c>
      <c r="U734" s="283" t="s">
        <v>4008</v>
      </c>
      <c r="V734" s="283">
        <f t="shared" si="102"/>
        <v>43.2</v>
      </c>
      <c r="W734" s="744"/>
      <c r="X734" s="283">
        <f t="shared" si="101"/>
        <v>1209.5999999999999</v>
      </c>
      <c r="AE734" s="283" t="str">
        <f t="shared" si="96"/>
        <v>|</v>
      </c>
      <c r="AG734" s="374" t="s">
        <v>2259</v>
      </c>
    </row>
    <row r="735" spans="1:33" ht="24" customHeight="1">
      <c r="A735" s="792">
        <f t="shared" si="97"/>
        <v>531</v>
      </c>
      <c r="B735" s="374" t="s">
        <v>761</v>
      </c>
      <c r="C735" s="283">
        <v>1250</v>
      </c>
      <c r="D735" s="374" t="s">
        <v>609</v>
      </c>
      <c r="M735" s="783">
        <v>2.5499999999999998E-2</v>
      </c>
      <c r="N735" s="374" t="s">
        <v>869</v>
      </c>
      <c r="O735" s="374" t="s">
        <v>1314</v>
      </c>
      <c r="P735" s="283">
        <f>C87</f>
        <v>34300</v>
      </c>
      <c r="Q735" s="374" t="s">
        <v>869</v>
      </c>
      <c r="R735" s="283">
        <f t="shared" ref="R735:R741" si="103">M735*P735</f>
        <v>874.65</v>
      </c>
      <c r="S735" s="746">
        <v>3.5</v>
      </c>
      <c r="T735" s="283" t="s">
        <v>1432</v>
      </c>
      <c r="U735" s="283" t="s">
        <v>465</v>
      </c>
      <c r="V735" s="283">
        <f t="shared" si="102"/>
        <v>932</v>
      </c>
      <c r="W735" s="744"/>
      <c r="X735" s="283">
        <f t="shared" si="101"/>
        <v>3262</v>
      </c>
      <c r="AE735" s="283" t="str">
        <f t="shared" si="96"/>
        <v>|</v>
      </c>
      <c r="AG735" s="374" t="s">
        <v>2259</v>
      </c>
    </row>
    <row r="736" spans="1:33" ht="24" customHeight="1">
      <c r="A736" s="792">
        <f t="shared" si="97"/>
        <v>532</v>
      </c>
      <c r="B736" s="374" t="s">
        <v>1227</v>
      </c>
      <c r="C736" s="283">
        <v>1250</v>
      </c>
      <c r="D736" s="374" t="s">
        <v>609</v>
      </c>
      <c r="F736" s="744" t="s">
        <v>2044</v>
      </c>
      <c r="G736" s="283" t="s">
        <v>2251</v>
      </c>
      <c r="H736" s="374" t="s">
        <v>9</v>
      </c>
      <c r="M736" s="783">
        <v>1.1299999999999999</v>
      </c>
      <c r="N736" s="374" t="s">
        <v>609</v>
      </c>
      <c r="O736" s="374" t="s">
        <v>1297</v>
      </c>
      <c r="P736" s="283">
        <f>C784</f>
        <v>387.4</v>
      </c>
      <c r="Q736" s="374" t="s">
        <v>609</v>
      </c>
      <c r="R736" s="283">
        <f t="shared" si="103"/>
        <v>437.76</v>
      </c>
      <c r="S736" s="746">
        <v>21.2</v>
      </c>
      <c r="T736" s="283" t="s">
        <v>1432</v>
      </c>
      <c r="U736" s="283" t="s">
        <v>3463</v>
      </c>
      <c r="V736" s="283">
        <f t="shared" si="102"/>
        <v>651</v>
      </c>
      <c r="W736" s="744"/>
      <c r="X736" s="283">
        <f t="shared" si="101"/>
        <v>13801.2</v>
      </c>
      <c r="AE736" s="283" t="str">
        <f t="shared" si="96"/>
        <v>|</v>
      </c>
      <c r="AG736" s="374" t="s">
        <v>2259</v>
      </c>
    </row>
    <row r="737" spans="1:33" ht="24" customHeight="1">
      <c r="A737" s="792">
        <f t="shared" si="97"/>
        <v>533</v>
      </c>
      <c r="B737" s="374" t="s">
        <v>1228</v>
      </c>
      <c r="C737" s="283">
        <v>1250</v>
      </c>
      <c r="D737" s="374" t="s">
        <v>609</v>
      </c>
      <c r="H737" s="374" t="s">
        <v>649</v>
      </c>
      <c r="M737" s="783">
        <v>1.6191</v>
      </c>
      <c r="N737" s="374" t="s">
        <v>609</v>
      </c>
      <c r="O737" s="374" t="s">
        <v>2092</v>
      </c>
      <c r="P737" s="283">
        <f>C31</f>
        <v>1537</v>
      </c>
      <c r="Q737" s="374" t="s">
        <v>609</v>
      </c>
      <c r="R737" s="283">
        <f t="shared" si="103"/>
        <v>2488.56</v>
      </c>
      <c r="S737" s="746">
        <v>35.299999999999997</v>
      </c>
      <c r="T737" s="283" t="s">
        <v>1432</v>
      </c>
      <c r="U737" s="283" t="s">
        <v>3464</v>
      </c>
      <c r="V737" s="283">
        <f t="shared" si="102"/>
        <v>534</v>
      </c>
      <c r="W737" s="744"/>
      <c r="X737" s="283">
        <f t="shared" si="101"/>
        <v>18850.2</v>
      </c>
      <c r="AE737" s="283" t="str">
        <f t="shared" si="96"/>
        <v>|</v>
      </c>
      <c r="AG737" s="374" t="s">
        <v>2259</v>
      </c>
    </row>
    <row r="738" spans="1:33" ht="24" customHeight="1">
      <c r="A738" s="792">
        <f t="shared" si="97"/>
        <v>534</v>
      </c>
      <c r="B738" s="374" t="s">
        <v>979</v>
      </c>
      <c r="C738" s="283">
        <v>1250</v>
      </c>
      <c r="D738" s="374" t="s">
        <v>609</v>
      </c>
      <c r="H738" s="374" t="s">
        <v>651</v>
      </c>
      <c r="M738" s="283">
        <v>2</v>
      </c>
      <c r="N738" s="374" t="s">
        <v>868</v>
      </c>
      <c r="O738" s="374" t="s">
        <v>1723</v>
      </c>
      <c r="P738" s="283">
        <f>C300</f>
        <v>10.5</v>
      </c>
      <c r="Q738" s="374" t="s">
        <v>868</v>
      </c>
      <c r="R738" s="283">
        <f t="shared" si="103"/>
        <v>21</v>
      </c>
      <c r="U738" s="751" t="s">
        <v>4003</v>
      </c>
      <c r="V738" s="283">
        <f t="shared" si="102"/>
        <v>0</v>
      </c>
      <c r="W738" s="744"/>
      <c r="X738" s="751">
        <f>SUM(X730:X737)</f>
        <v>80373.009999999995</v>
      </c>
      <c r="AE738" s="283" t="str">
        <f t="shared" si="96"/>
        <v>|</v>
      </c>
      <c r="AG738" s="374" t="s">
        <v>2259</v>
      </c>
    </row>
    <row r="739" spans="1:33" ht="24" customHeight="1">
      <c r="A739" s="792">
        <f t="shared" si="97"/>
        <v>535</v>
      </c>
      <c r="B739" s="374" t="s">
        <v>981</v>
      </c>
      <c r="C739" s="283">
        <v>1250</v>
      </c>
      <c r="D739" s="374" t="s">
        <v>609</v>
      </c>
      <c r="H739" s="374" t="s">
        <v>517</v>
      </c>
      <c r="M739" s="283">
        <v>3</v>
      </c>
      <c r="N739" s="374" t="s">
        <v>868</v>
      </c>
      <c r="O739" s="374" t="s">
        <v>1618</v>
      </c>
      <c r="P739" s="283">
        <f>C296</f>
        <v>8.5</v>
      </c>
      <c r="Q739" s="374" t="s">
        <v>868</v>
      </c>
      <c r="R739" s="283">
        <f t="shared" si="103"/>
        <v>25.5</v>
      </c>
      <c r="U739" s="751" t="s">
        <v>4004</v>
      </c>
      <c r="V739" s="283">
        <f t="shared" si="102"/>
        <v>0</v>
      </c>
      <c r="W739" s="744"/>
      <c r="X739" s="751">
        <f>X738/10</f>
        <v>8037.3</v>
      </c>
      <c r="Y739" s="283">
        <f>X739</f>
        <v>8037.3</v>
      </c>
      <c r="AE739" s="283" t="str">
        <f t="shared" si="96"/>
        <v>|</v>
      </c>
      <c r="AG739" s="374" t="s">
        <v>2259</v>
      </c>
    </row>
    <row r="740" spans="1:33" ht="24" customHeight="1">
      <c r="A740" s="792">
        <f t="shared" si="97"/>
        <v>536</v>
      </c>
      <c r="B740" s="374" t="s">
        <v>943</v>
      </c>
      <c r="C740" s="283">
        <v>1250</v>
      </c>
      <c r="D740" s="374" t="s">
        <v>609</v>
      </c>
      <c r="H740" s="374" t="s">
        <v>519</v>
      </c>
      <c r="M740" s="283">
        <v>1</v>
      </c>
      <c r="N740" s="374" t="s">
        <v>868</v>
      </c>
      <c r="O740" s="374" t="s">
        <v>1707</v>
      </c>
      <c r="P740" s="283">
        <f>C302</f>
        <v>21</v>
      </c>
      <c r="Q740" s="374" t="s">
        <v>868</v>
      </c>
      <c r="R740" s="283">
        <f t="shared" si="103"/>
        <v>21</v>
      </c>
      <c r="S740" s="746">
        <v>1</v>
      </c>
      <c r="T740" s="283" t="s">
        <v>1341</v>
      </c>
      <c r="U740" s="283" t="s">
        <v>4030</v>
      </c>
      <c r="V740" s="283">
        <f t="shared" si="102"/>
        <v>94.2</v>
      </c>
      <c r="W740" s="744"/>
      <c r="X740" s="283">
        <f>V740</f>
        <v>94.2</v>
      </c>
      <c r="AE740" s="283" t="str">
        <f t="shared" si="96"/>
        <v>|</v>
      </c>
      <c r="AG740" s="374" t="s">
        <v>2259</v>
      </c>
    </row>
    <row r="741" spans="1:33" ht="24" customHeight="1">
      <c r="A741" s="792">
        <f t="shared" si="97"/>
        <v>537</v>
      </c>
      <c r="B741" s="374" t="s">
        <v>1227</v>
      </c>
      <c r="C741" s="283">
        <v>1250</v>
      </c>
      <c r="D741" s="374" t="s">
        <v>609</v>
      </c>
      <c r="H741" s="374" t="s">
        <v>2</v>
      </c>
      <c r="M741" s="283">
        <v>1</v>
      </c>
      <c r="N741" s="374" t="s">
        <v>868</v>
      </c>
      <c r="O741" s="374" t="s">
        <v>1980</v>
      </c>
      <c r="P741" s="283">
        <f>C304</f>
        <v>4</v>
      </c>
      <c r="Q741" s="374" t="s">
        <v>868</v>
      </c>
      <c r="R741" s="283">
        <f t="shared" si="103"/>
        <v>4</v>
      </c>
      <c r="U741" s="283" t="s">
        <v>4005</v>
      </c>
      <c r="W741" s="744"/>
      <c r="X741" s="751">
        <f>SUM(X739:X740)</f>
        <v>8131.5</v>
      </c>
      <c r="Y741" s="283">
        <f>SUM(Y739:Y740)</f>
        <v>8037.3</v>
      </c>
      <c r="AE741" s="283" t="str">
        <f t="shared" si="96"/>
        <v>|</v>
      </c>
      <c r="AG741" s="374" t="s">
        <v>2259</v>
      </c>
    </row>
    <row r="742" spans="1:33" ht="24" customHeight="1">
      <c r="A742" s="792">
        <f t="shared" si="97"/>
        <v>538</v>
      </c>
      <c r="B742" s="374" t="s">
        <v>1657</v>
      </c>
      <c r="D742" s="374" t="s">
        <v>975</v>
      </c>
      <c r="H742" s="374" t="s">
        <v>1226</v>
      </c>
      <c r="N742" s="374" t="s">
        <v>449</v>
      </c>
      <c r="O742" s="374" t="s">
        <v>450</v>
      </c>
      <c r="Q742" s="374" t="s">
        <v>449</v>
      </c>
      <c r="R742" s="283">
        <v>0</v>
      </c>
      <c r="S742" s="790" t="s">
        <v>657</v>
      </c>
      <c r="U742" s="283" t="s">
        <v>4006</v>
      </c>
      <c r="V742" s="790" t="s">
        <v>657</v>
      </c>
      <c r="W742" s="744"/>
      <c r="X742" s="283">
        <f>X741*0.5%</f>
        <v>40.659999999999997</v>
      </c>
      <c r="Y742" s="283">
        <f>Y741*0.5/100</f>
        <v>40.19</v>
      </c>
      <c r="AE742" s="283" t="str">
        <f t="shared" si="96"/>
        <v>|</v>
      </c>
      <c r="AG742" s="374" t="s">
        <v>2259</v>
      </c>
    </row>
    <row r="743" spans="1:33" ht="24" customHeight="1">
      <c r="A743" s="792">
        <f t="shared" si="97"/>
        <v>539</v>
      </c>
      <c r="B743" s="374" t="s">
        <v>1659</v>
      </c>
      <c r="C743" s="283">
        <v>65</v>
      </c>
      <c r="D743" s="374" t="s">
        <v>1716</v>
      </c>
      <c r="H743" s="748" t="s">
        <v>1586</v>
      </c>
      <c r="I743" s="748" t="s">
        <v>1586</v>
      </c>
      <c r="J743" s="374" t="s">
        <v>1586</v>
      </c>
      <c r="R743" s="748" t="s">
        <v>1586</v>
      </c>
      <c r="U743" s="751" t="s">
        <v>3588</v>
      </c>
      <c r="W743" s="744"/>
      <c r="X743" s="751">
        <f>SUM(X741:X742)</f>
        <v>8172.16</v>
      </c>
      <c r="Y743" s="751">
        <f>SUM(Y741:Y742)</f>
        <v>8077.49</v>
      </c>
      <c r="AE743" s="283" t="str">
        <f t="shared" si="96"/>
        <v>|</v>
      </c>
      <c r="AG743" s="374" t="s">
        <v>2259</v>
      </c>
    </row>
    <row r="744" spans="1:33" ht="24" customHeight="1">
      <c r="A744" s="792">
        <f t="shared" si="97"/>
        <v>540</v>
      </c>
      <c r="B744" s="374" t="s">
        <v>24</v>
      </c>
      <c r="C744" s="283">
        <v>21.5</v>
      </c>
      <c r="D744" s="374" t="s">
        <v>1716</v>
      </c>
      <c r="F744" s="283">
        <v>13.46</v>
      </c>
      <c r="G744" s="283" t="s">
        <v>268</v>
      </c>
      <c r="H744" s="374" t="s">
        <v>269</v>
      </c>
      <c r="I744" s="283">
        <f>C34/1000</f>
        <v>53</v>
      </c>
      <c r="J744" s="374" t="s">
        <v>268</v>
      </c>
      <c r="K744" s="283">
        <f>(F744*I744)</f>
        <v>713.38</v>
      </c>
      <c r="O744" s="744" t="s">
        <v>25</v>
      </c>
      <c r="R744" s="283">
        <f>SUM(R735:R742)</f>
        <v>3872.47</v>
      </c>
      <c r="W744" s="744"/>
      <c r="X744" s="748" t="s">
        <v>1586</v>
      </c>
      <c r="AE744" s="283" t="str">
        <f t="shared" si="96"/>
        <v>|</v>
      </c>
      <c r="AG744" s="374" t="s">
        <v>2259</v>
      </c>
    </row>
    <row r="745" spans="1:33" ht="24" customHeight="1">
      <c r="A745" s="792">
        <f t="shared" si="97"/>
        <v>541</v>
      </c>
      <c r="B745" s="374" t="s">
        <v>26</v>
      </c>
      <c r="C745" s="283">
        <v>110.95</v>
      </c>
      <c r="D745" s="374" t="s">
        <v>1716</v>
      </c>
      <c r="H745" s="374" t="s">
        <v>980</v>
      </c>
      <c r="R745" s="748" t="s">
        <v>1586</v>
      </c>
      <c r="U745" s="374" t="s">
        <v>386</v>
      </c>
      <c r="W745" s="744"/>
      <c r="X745" s="751">
        <f>(X743+C22)</f>
        <v>8292.01</v>
      </c>
      <c r="AE745" s="283" t="str">
        <f t="shared" si="96"/>
        <v>|</v>
      </c>
      <c r="AG745" s="374" t="s">
        <v>2259</v>
      </c>
    </row>
    <row r="746" spans="1:33" ht="24" customHeight="1">
      <c r="A746" s="792">
        <f t="shared" si="97"/>
        <v>542</v>
      </c>
      <c r="B746" s="374" t="s">
        <v>1018</v>
      </c>
      <c r="C746" s="283">
        <v>399</v>
      </c>
      <c r="D746" s="374" t="s">
        <v>1716</v>
      </c>
      <c r="F746" s="283">
        <v>4</v>
      </c>
      <c r="G746" s="283" t="s">
        <v>268</v>
      </c>
      <c r="H746" s="374" t="s">
        <v>982</v>
      </c>
      <c r="I746" s="283">
        <f>C34/1000</f>
        <v>53</v>
      </c>
      <c r="J746" s="374" t="s">
        <v>268</v>
      </c>
      <c r="K746" s="283">
        <f>(F746*I746)</f>
        <v>212</v>
      </c>
      <c r="O746" s="744" t="s">
        <v>552</v>
      </c>
      <c r="R746" s="283">
        <f>R744/M737</f>
        <v>2391.7399999999998</v>
      </c>
      <c r="U746" s="374" t="s">
        <v>388</v>
      </c>
      <c r="W746" s="744"/>
      <c r="X746" s="751">
        <f>(X745+C24)</f>
        <v>8528.11</v>
      </c>
      <c r="AE746" s="283" t="str">
        <f t="shared" si="96"/>
        <v>|</v>
      </c>
      <c r="AG746" s="374" t="s">
        <v>2259</v>
      </c>
    </row>
    <row r="747" spans="1:33" ht="24" customHeight="1">
      <c r="A747" s="792">
        <f t="shared" si="97"/>
        <v>543</v>
      </c>
      <c r="B747" s="374" t="s">
        <v>896</v>
      </c>
      <c r="C747" s="283">
        <v>92</v>
      </c>
      <c r="D747" s="374" t="s">
        <v>1716</v>
      </c>
      <c r="H747" s="374" t="s">
        <v>1029</v>
      </c>
      <c r="R747" s="748" t="s">
        <v>2055</v>
      </c>
      <c r="U747" s="374" t="s">
        <v>2232</v>
      </c>
      <c r="W747" s="744"/>
      <c r="X747" s="751">
        <f>(X746+C24)</f>
        <v>8764.2099999999991</v>
      </c>
      <c r="Y747" s="283">
        <f>X747-X746</f>
        <v>236.1</v>
      </c>
      <c r="AE747" s="283" t="str">
        <f t="shared" si="96"/>
        <v>|</v>
      </c>
      <c r="AG747" s="374" t="s">
        <v>2259</v>
      </c>
    </row>
    <row r="748" spans="1:33" ht="24" customHeight="1">
      <c r="A748" s="792">
        <f t="shared" si="97"/>
        <v>544</v>
      </c>
      <c r="B748" s="374" t="s">
        <v>312</v>
      </c>
      <c r="C748" s="283">
        <v>174.24</v>
      </c>
      <c r="D748" s="374" t="s">
        <v>1716</v>
      </c>
      <c r="G748" s="283" t="s">
        <v>449</v>
      </c>
      <c r="H748" s="374" t="s">
        <v>1656</v>
      </c>
      <c r="J748" s="374" t="s">
        <v>449</v>
      </c>
      <c r="K748" s="283">
        <v>40</v>
      </c>
      <c r="U748" s="374" t="s">
        <v>380</v>
      </c>
      <c r="W748" s="744"/>
      <c r="X748" s="751">
        <f>(X747+C24)</f>
        <v>9000.31</v>
      </c>
      <c r="AE748" s="283" t="str">
        <f t="shared" si="96"/>
        <v>|</v>
      </c>
      <c r="AG748" s="374" t="s">
        <v>2259</v>
      </c>
    </row>
    <row r="749" spans="1:33" ht="24" customHeight="1">
      <c r="A749" s="792">
        <f t="shared" si="97"/>
        <v>545</v>
      </c>
      <c r="B749" s="374" t="s">
        <v>314</v>
      </c>
      <c r="C749" s="283">
        <v>215.06</v>
      </c>
      <c r="D749" s="374" t="s">
        <v>1716</v>
      </c>
      <c r="H749" s="374" t="s">
        <v>1658</v>
      </c>
      <c r="K749" s="748" t="s">
        <v>1586</v>
      </c>
      <c r="M749" s="744" t="s">
        <v>1539</v>
      </c>
      <c r="N749" s="374" t="s">
        <v>316</v>
      </c>
      <c r="O749" s="374" t="s">
        <v>1620</v>
      </c>
      <c r="U749" s="374" t="s">
        <v>1532</v>
      </c>
      <c r="W749" s="744"/>
      <c r="X749" s="751">
        <f t="shared" ref="X749:X754" si="104">(X748+C24)</f>
        <v>9236.41</v>
      </c>
      <c r="Y749" s="283">
        <f>X749+Y747</f>
        <v>9472.51</v>
      </c>
      <c r="AE749" s="283" t="str">
        <f t="shared" si="96"/>
        <v>|</v>
      </c>
      <c r="AG749" s="374" t="s">
        <v>2259</v>
      </c>
    </row>
    <row r="750" spans="1:33" ht="24" customHeight="1">
      <c r="A750" s="792">
        <f t="shared" si="97"/>
        <v>546</v>
      </c>
      <c r="B750" s="374" t="s">
        <v>1621</v>
      </c>
      <c r="C750" s="283">
        <v>97.24</v>
      </c>
      <c r="D750" s="374" t="s">
        <v>1716</v>
      </c>
      <c r="H750" s="744" t="s">
        <v>3596</v>
      </c>
      <c r="K750" s="283">
        <f>SUM(K744:K748)</f>
        <v>965.38</v>
      </c>
      <c r="O750" s="748" t="s">
        <v>1586</v>
      </c>
      <c r="W750" s="744"/>
      <c r="X750" s="751">
        <f t="shared" si="104"/>
        <v>9330.61</v>
      </c>
      <c r="Y750" s="283">
        <f>Y749-X749</f>
        <v>236.1</v>
      </c>
      <c r="AE750" s="283" t="str">
        <f t="shared" ref="AE750:AE813" si="105">AG750</f>
        <v>|</v>
      </c>
      <c r="AG750" s="374" t="s">
        <v>2259</v>
      </c>
    </row>
    <row r="751" spans="1:33" ht="24" customHeight="1">
      <c r="A751" s="792">
        <f t="shared" si="97"/>
        <v>547</v>
      </c>
      <c r="B751" s="374" t="s">
        <v>1431</v>
      </c>
      <c r="C751" s="283">
        <v>168.96</v>
      </c>
      <c r="D751" s="374" t="s">
        <v>1716</v>
      </c>
      <c r="K751" s="748" t="s">
        <v>1586</v>
      </c>
      <c r="M751" s="783">
        <v>2.35E-2</v>
      </c>
      <c r="N751" s="374" t="s">
        <v>869</v>
      </c>
      <c r="O751" s="374" t="s">
        <v>1314</v>
      </c>
      <c r="P751" s="283">
        <f>C87</f>
        <v>34300</v>
      </c>
      <c r="Q751" s="374" t="s">
        <v>869</v>
      </c>
      <c r="R751" s="283">
        <f t="shared" ref="R751:R757" si="106">M751*P751</f>
        <v>806.05</v>
      </c>
      <c r="W751" s="744"/>
      <c r="X751" s="751">
        <f t="shared" si="104"/>
        <v>9369.56</v>
      </c>
      <c r="AE751" s="283" t="str">
        <f t="shared" si="105"/>
        <v>|</v>
      </c>
      <c r="AG751" s="374" t="s">
        <v>2259</v>
      </c>
    </row>
    <row r="752" spans="1:33" ht="24" customHeight="1">
      <c r="A752" s="792">
        <f t="shared" si="97"/>
        <v>548</v>
      </c>
      <c r="B752" s="374" t="s">
        <v>5862</v>
      </c>
      <c r="C752" s="283">
        <v>376.7</v>
      </c>
      <c r="D752" s="283">
        <v>408</v>
      </c>
      <c r="H752" s="744" t="s">
        <v>27</v>
      </c>
      <c r="K752" s="283">
        <f>K750/40</f>
        <v>24.13</v>
      </c>
      <c r="M752" s="783">
        <v>0.872</v>
      </c>
      <c r="N752" s="374" t="s">
        <v>609</v>
      </c>
      <c r="O752" s="374" t="s">
        <v>1297</v>
      </c>
      <c r="P752" s="283">
        <f>C784</f>
        <v>387.4</v>
      </c>
      <c r="Q752" s="374" t="s">
        <v>609</v>
      </c>
      <c r="R752" s="283">
        <f t="shared" si="106"/>
        <v>337.81</v>
      </c>
      <c r="W752" s="744"/>
      <c r="X752" s="751">
        <f t="shared" si="104"/>
        <v>9403.76</v>
      </c>
      <c r="AE752" s="283" t="str">
        <f t="shared" si="105"/>
        <v>|</v>
      </c>
      <c r="AG752" s="374" t="s">
        <v>2259</v>
      </c>
    </row>
    <row r="753" spans="1:33" ht="24" customHeight="1">
      <c r="A753" s="792">
        <f t="shared" si="97"/>
        <v>549</v>
      </c>
      <c r="B753" s="374" t="s">
        <v>5863</v>
      </c>
      <c r="C753" s="283">
        <v>769</v>
      </c>
      <c r="D753" s="374" t="s">
        <v>1716</v>
      </c>
      <c r="K753" s="748" t="s">
        <v>1586</v>
      </c>
      <c r="M753" s="783">
        <v>1.3247</v>
      </c>
      <c r="N753" s="374" t="s">
        <v>609</v>
      </c>
      <c r="O753" s="374" t="s">
        <v>2092</v>
      </c>
      <c r="P753" s="283">
        <f>C31</f>
        <v>1537</v>
      </c>
      <c r="Q753" s="374" t="s">
        <v>609</v>
      </c>
      <c r="R753" s="283">
        <f t="shared" si="106"/>
        <v>2036.06</v>
      </c>
      <c r="W753" s="744"/>
      <c r="X753" s="751">
        <f t="shared" si="104"/>
        <v>9490.16</v>
      </c>
      <c r="AE753" s="283" t="str">
        <f t="shared" si="105"/>
        <v>|</v>
      </c>
      <c r="AG753" s="374" t="s">
        <v>2259</v>
      </c>
    </row>
    <row r="754" spans="1:33" ht="24" customHeight="1">
      <c r="A754" s="792">
        <f t="shared" si="97"/>
        <v>550</v>
      </c>
      <c r="B754" s="374" t="s">
        <v>825</v>
      </c>
      <c r="C754" s="283">
        <v>210</v>
      </c>
      <c r="D754" s="374" t="s">
        <v>1716</v>
      </c>
      <c r="H754" s="374" t="s">
        <v>897</v>
      </c>
      <c r="M754" s="283">
        <v>1</v>
      </c>
      <c r="N754" s="374" t="s">
        <v>868</v>
      </c>
      <c r="O754" s="374" t="s">
        <v>1723</v>
      </c>
      <c r="P754" s="283">
        <f>C300</f>
        <v>10.5</v>
      </c>
      <c r="Q754" s="374" t="s">
        <v>868</v>
      </c>
      <c r="R754" s="283">
        <f t="shared" si="106"/>
        <v>10.5</v>
      </c>
      <c r="W754" s="744"/>
      <c r="X754" s="751">
        <f t="shared" si="104"/>
        <v>10259.16</v>
      </c>
      <c r="AE754" s="283" t="str">
        <f t="shared" si="105"/>
        <v>|</v>
      </c>
      <c r="AG754" s="374" t="s">
        <v>2259</v>
      </c>
    </row>
    <row r="755" spans="1:33" ht="24" customHeight="1">
      <c r="A755" s="792">
        <f t="shared" si="97"/>
        <v>551</v>
      </c>
      <c r="B755" s="374" t="s">
        <v>5304</v>
      </c>
      <c r="C755" s="283">
        <v>1462</v>
      </c>
      <c r="D755" s="374" t="s">
        <v>609</v>
      </c>
      <c r="H755" s="374" t="s">
        <v>313</v>
      </c>
      <c r="M755" s="283">
        <v>3</v>
      </c>
      <c r="N755" s="374" t="s">
        <v>868</v>
      </c>
      <c r="O755" s="374" t="s">
        <v>1392</v>
      </c>
      <c r="P755" s="283">
        <f>C295</f>
        <v>5.75</v>
      </c>
      <c r="Q755" s="374" t="s">
        <v>868</v>
      </c>
      <c r="R755" s="283">
        <f t="shared" si="106"/>
        <v>17.25</v>
      </c>
      <c r="W755" s="744"/>
      <c r="AE755" s="283" t="str">
        <f t="shared" si="105"/>
        <v>|</v>
      </c>
      <c r="AG755" s="374" t="s">
        <v>2259</v>
      </c>
    </row>
    <row r="756" spans="1:33" ht="24" customHeight="1">
      <c r="A756" s="792">
        <f t="shared" si="97"/>
        <v>552</v>
      </c>
      <c r="B756" s="374" t="s">
        <v>1393</v>
      </c>
      <c r="D756" s="374" t="s">
        <v>975</v>
      </c>
      <c r="H756" s="374" t="s">
        <v>315</v>
      </c>
      <c r="M756" s="283">
        <v>1</v>
      </c>
      <c r="N756" s="374" t="s">
        <v>868</v>
      </c>
      <c r="O756" s="374" t="s">
        <v>1396</v>
      </c>
      <c r="P756" s="283">
        <f>C303</f>
        <v>10</v>
      </c>
      <c r="Q756" s="374" t="s">
        <v>868</v>
      </c>
      <c r="R756" s="283">
        <f t="shared" si="106"/>
        <v>10</v>
      </c>
      <c r="W756" s="744"/>
      <c r="AE756" s="283" t="str">
        <f t="shared" si="105"/>
        <v>|</v>
      </c>
      <c r="AG756" s="374" t="s">
        <v>2259</v>
      </c>
    </row>
    <row r="757" spans="1:33" ht="24" customHeight="1">
      <c r="A757" s="792">
        <f t="shared" si="97"/>
        <v>553</v>
      </c>
      <c r="B757" s="374" t="s">
        <v>1397</v>
      </c>
      <c r="M757" s="283">
        <v>1</v>
      </c>
      <c r="N757" s="374" t="s">
        <v>868</v>
      </c>
      <c r="O757" s="374" t="s">
        <v>1980</v>
      </c>
      <c r="P757" s="283">
        <f>C304</f>
        <v>4</v>
      </c>
      <c r="Q757" s="374" t="s">
        <v>868</v>
      </c>
      <c r="R757" s="283">
        <f t="shared" si="106"/>
        <v>4</v>
      </c>
      <c r="W757" s="744"/>
      <c r="AE757" s="283" t="str">
        <f t="shared" si="105"/>
        <v>|</v>
      </c>
      <c r="AG757" s="374" t="s">
        <v>2259</v>
      </c>
    </row>
    <row r="758" spans="1:33" ht="24" customHeight="1">
      <c r="A758" s="792">
        <f t="shared" si="97"/>
        <v>554</v>
      </c>
      <c r="B758" s="374" t="s">
        <v>2178</v>
      </c>
      <c r="C758" s="283">
        <v>300</v>
      </c>
      <c r="D758" s="374" t="s">
        <v>2285</v>
      </c>
      <c r="F758" s="283">
        <v>19</v>
      </c>
      <c r="G758" s="283" t="s">
        <v>1432</v>
      </c>
      <c r="H758" s="374" t="s">
        <v>68</v>
      </c>
      <c r="I758" s="746">
        <f>K752</f>
        <v>24.13</v>
      </c>
      <c r="J758" s="374" t="s">
        <v>259</v>
      </c>
      <c r="K758" s="283">
        <f>(F758*I758)</f>
        <v>458.47</v>
      </c>
      <c r="N758" s="374" t="s">
        <v>449</v>
      </c>
      <c r="O758" s="374" t="s">
        <v>450</v>
      </c>
      <c r="Q758" s="374" t="s">
        <v>449</v>
      </c>
      <c r="R758" s="283">
        <v>0</v>
      </c>
      <c r="W758" s="744"/>
      <c r="AE758" s="283" t="str">
        <f t="shared" si="105"/>
        <v>|</v>
      </c>
      <c r="AG758" s="374" t="s">
        <v>2259</v>
      </c>
    </row>
    <row r="759" spans="1:33" ht="24" customHeight="1">
      <c r="A759" s="792">
        <f t="shared" si="97"/>
        <v>555</v>
      </c>
      <c r="B759" s="744" t="s">
        <v>774</v>
      </c>
      <c r="C759" s="283">
        <v>302</v>
      </c>
      <c r="D759" s="374" t="s">
        <v>2285</v>
      </c>
      <c r="H759" s="374" t="s">
        <v>1660</v>
      </c>
      <c r="R759" s="748" t="s">
        <v>1586</v>
      </c>
      <c r="W759" s="744"/>
      <c r="AE759" s="283" t="str">
        <f t="shared" si="105"/>
        <v>|</v>
      </c>
      <c r="AG759" s="374" t="s">
        <v>2259</v>
      </c>
    </row>
    <row r="760" spans="1:33" ht="24" customHeight="1">
      <c r="A760" s="792">
        <f t="shared" si="97"/>
        <v>556</v>
      </c>
      <c r="B760" s="374" t="s">
        <v>776</v>
      </c>
      <c r="C760" s="283">
        <v>382</v>
      </c>
      <c r="D760" s="374" t="s">
        <v>2285</v>
      </c>
      <c r="F760" s="283">
        <v>0.12</v>
      </c>
      <c r="G760" s="283" t="s">
        <v>2151</v>
      </c>
      <c r="H760" s="374" t="s">
        <v>1135</v>
      </c>
      <c r="I760" s="283">
        <f>C270/5</f>
        <v>3100</v>
      </c>
      <c r="J760" s="374" t="s">
        <v>259</v>
      </c>
      <c r="K760" s="283">
        <f t="shared" ref="K760:K767" si="107">(F760*I760)</f>
        <v>372</v>
      </c>
      <c r="O760" s="744" t="s">
        <v>745</v>
      </c>
      <c r="R760" s="283">
        <f>SUM(R751:R758)</f>
        <v>3221.67</v>
      </c>
      <c r="W760" s="744"/>
      <c r="AE760" s="283" t="str">
        <f t="shared" si="105"/>
        <v>|</v>
      </c>
      <c r="AG760" s="374" t="s">
        <v>2259</v>
      </c>
    </row>
    <row r="761" spans="1:33" ht="24" customHeight="1">
      <c r="A761" s="792">
        <f t="shared" si="97"/>
        <v>557</v>
      </c>
      <c r="B761" s="374" t="s">
        <v>570</v>
      </c>
      <c r="C761" s="283">
        <v>140</v>
      </c>
      <c r="D761" s="374" t="s">
        <v>2285</v>
      </c>
      <c r="F761" s="283">
        <v>98.5</v>
      </c>
      <c r="G761" s="283" t="s">
        <v>826</v>
      </c>
      <c r="H761" s="374" t="s">
        <v>827</v>
      </c>
      <c r="I761" s="283">
        <f>C271/5</f>
        <v>5.04</v>
      </c>
      <c r="J761" s="374" t="s">
        <v>259</v>
      </c>
      <c r="K761" s="283">
        <f t="shared" si="107"/>
        <v>496.44</v>
      </c>
      <c r="R761" s="748" t="s">
        <v>1586</v>
      </c>
      <c r="T761" s="751">
        <v>4.2</v>
      </c>
      <c r="U761" s="751" t="s">
        <v>5864</v>
      </c>
      <c r="W761" s="744"/>
      <c r="AE761" s="283" t="str">
        <f t="shared" si="105"/>
        <v>|</v>
      </c>
      <c r="AG761" s="374" t="s">
        <v>2259</v>
      </c>
    </row>
    <row r="762" spans="1:33" ht="24" customHeight="1">
      <c r="A762" s="792">
        <f t="shared" si="97"/>
        <v>558</v>
      </c>
      <c r="B762" s="374" t="s">
        <v>838</v>
      </c>
      <c r="C762" s="283">
        <v>222</v>
      </c>
      <c r="D762" s="374" t="s">
        <v>2285</v>
      </c>
      <c r="F762" s="283">
        <v>1</v>
      </c>
      <c r="G762" s="283" t="s">
        <v>449</v>
      </c>
      <c r="H762" s="374" t="s">
        <v>1391</v>
      </c>
      <c r="I762" s="283">
        <v>11</v>
      </c>
      <c r="J762" s="374" t="s">
        <v>449</v>
      </c>
      <c r="K762" s="283">
        <f t="shared" si="107"/>
        <v>11</v>
      </c>
      <c r="O762" s="744" t="s">
        <v>552</v>
      </c>
      <c r="R762" s="283">
        <f>R760/1.3247</f>
        <v>2432</v>
      </c>
      <c r="S762" s="746">
        <v>5</v>
      </c>
      <c r="T762" s="283" t="s">
        <v>1341</v>
      </c>
      <c r="U762" s="283" t="s">
        <v>6095</v>
      </c>
      <c r="V762" s="283">
        <f>V676</f>
        <v>1582.2</v>
      </c>
      <c r="W762" s="744"/>
      <c r="X762" s="283">
        <f t="shared" ref="X762:X769" si="108">V762*S762</f>
        <v>7911</v>
      </c>
      <c r="AE762" s="283" t="str">
        <f t="shared" si="105"/>
        <v>|</v>
      </c>
      <c r="AG762" s="374" t="s">
        <v>2259</v>
      </c>
    </row>
    <row r="763" spans="1:33" ht="24" customHeight="1">
      <c r="A763" s="792">
        <f t="shared" si="97"/>
        <v>559</v>
      </c>
      <c r="B763" s="374" t="s">
        <v>612</v>
      </c>
      <c r="C763" s="283">
        <v>505</v>
      </c>
      <c r="D763" s="374" t="s">
        <v>2285</v>
      </c>
      <c r="F763" s="283">
        <v>3.8</v>
      </c>
      <c r="G763" s="283" t="s">
        <v>1394</v>
      </c>
      <c r="H763" s="374" t="s">
        <v>1395</v>
      </c>
      <c r="I763" s="283">
        <f>C16</f>
        <v>976</v>
      </c>
      <c r="J763" s="374" t="s">
        <v>1398</v>
      </c>
      <c r="K763" s="283">
        <f t="shared" si="107"/>
        <v>3708.8</v>
      </c>
      <c r="R763" s="748" t="s">
        <v>2055</v>
      </c>
      <c r="S763" s="746">
        <v>3.3</v>
      </c>
      <c r="T763" s="283" t="s">
        <v>1341</v>
      </c>
      <c r="U763" s="283" t="s">
        <v>6096</v>
      </c>
      <c r="V763" s="283">
        <f t="shared" ref="V763:V769" si="109">V677</f>
        <v>1292.2</v>
      </c>
      <c r="W763" s="744"/>
      <c r="X763" s="283">
        <f t="shared" si="108"/>
        <v>4264.26</v>
      </c>
      <c r="AE763" s="283" t="str">
        <f t="shared" si="105"/>
        <v>|</v>
      </c>
      <c r="AG763" s="374" t="s">
        <v>2259</v>
      </c>
    </row>
    <row r="764" spans="1:33" ht="24" customHeight="1">
      <c r="A764" s="792">
        <f t="shared" si="97"/>
        <v>560</v>
      </c>
      <c r="B764" s="374" t="s">
        <v>4592</v>
      </c>
      <c r="C764" s="283">
        <v>272.2</v>
      </c>
      <c r="D764" s="374" t="s">
        <v>1716</v>
      </c>
      <c r="F764" s="283">
        <v>5.4</v>
      </c>
      <c r="G764" s="283" t="s">
        <v>1394</v>
      </c>
      <c r="H764" s="374" t="s">
        <v>823</v>
      </c>
      <c r="I764" s="283">
        <f>C12</f>
        <v>651</v>
      </c>
      <c r="J764" s="374" t="s">
        <v>1398</v>
      </c>
      <c r="K764" s="283">
        <f t="shared" si="107"/>
        <v>3515.4</v>
      </c>
      <c r="N764" s="374" t="s">
        <v>2251</v>
      </c>
      <c r="S764" s="746">
        <v>4.79</v>
      </c>
      <c r="T764" s="283" t="s">
        <v>1341</v>
      </c>
      <c r="U764" s="283" t="s">
        <v>6097</v>
      </c>
      <c r="V764" s="283">
        <f t="shared" si="109"/>
        <v>2074.06</v>
      </c>
      <c r="W764" s="744"/>
      <c r="X764" s="283">
        <f t="shared" si="108"/>
        <v>9934.75</v>
      </c>
      <c r="AE764" s="283" t="str">
        <f t="shared" si="105"/>
        <v>|</v>
      </c>
      <c r="AG764" s="374" t="s">
        <v>2259</v>
      </c>
    </row>
    <row r="765" spans="1:33" ht="24" customHeight="1">
      <c r="A765" s="283" t="s">
        <v>2823</v>
      </c>
      <c r="B765" s="374" t="s">
        <v>5865</v>
      </c>
      <c r="C765" s="283">
        <v>1020</v>
      </c>
      <c r="D765" s="374" t="s">
        <v>1716</v>
      </c>
      <c r="F765" s="283">
        <v>1</v>
      </c>
      <c r="G765" s="283" t="s">
        <v>1394</v>
      </c>
      <c r="H765" s="374" t="s">
        <v>2286</v>
      </c>
      <c r="I765" s="283">
        <f>C67</f>
        <v>856</v>
      </c>
      <c r="J765" s="374" t="s">
        <v>1398</v>
      </c>
      <c r="K765" s="283">
        <f t="shared" si="107"/>
        <v>856</v>
      </c>
      <c r="O765" s="374" t="s">
        <v>2284</v>
      </c>
      <c r="S765" s="746">
        <v>4.25</v>
      </c>
      <c r="T765" s="283" t="s">
        <v>528</v>
      </c>
      <c r="U765" s="283" t="s">
        <v>390</v>
      </c>
      <c r="V765" s="283">
        <f t="shared" si="109"/>
        <v>6040</v>
      </c>
      <c r="W765" s="744"/>
      <c r="X765" s="283">
        <f t="shared" si="108"/>
        <v>25670</v>
      </c>
      <c r="AE765" s="283" t="str">
        <f t="shared" si="105"/>
        <v>|</v>
      </c>
      <c r="AG765" s="374" t="s">
        <v>2259</v>
      </c>
    </row>
    <row r="766" spans="1:33" ht="24" customHeight="1">
      <c r="A766" s="792">
        <f>(A764+1)</f>
        <v>561</v>
      </c>
      <c r="B766" s="374" t="s">
        <v>100</v>
      </c>
      <c r="C766" s="283">
        <v>43.3</v>
      </c>
      <c r="D766" s="374" t="s">
        <v>1771</v>
      </c>
      <c r="F766" s="283">
        <v>1</v>
      </c>
      <c r="G766" s="283" t="s">
        <v>449</v>
      </c>
      <c r="H766" s="374" t="s">
        <v>775</v>
      </c>
      <c r="I766" s="283">
        <v>10</v>
      </c>
      <c r="J766" s="374" t="s">
        <v>449</v>
      </c>
      <c r="K766" s="283">
        <f t="shared" si="107"/>
        <v>10</v>
      </c>
      <c r="O766" s="374" t="s">
        <v>2113</v>
      </c>
      <c r="S766" s="746">
        <v>40</v>
      </c>
      <c r="T766" s="283" t="s">
        <v>1645</v>
      </c>
      <c r="U766" s="283" t="s">
        <v>4008</v>
      </c>
      <c r="V766" s="283">
        <f t="shared" si="109"/>
        <v>43.2</v>
      </c>
      <c r="W766" s="744"/>
      <c r="X766" s="283">
        <f t="shared" si="108"/>
        <v>1728</v>
      </c>
      <c r="AE766" s="283" t="str">
        <f t="shared" si="105"/>
        <v>|</v>
      </c>
      <c r="AG766" s="374" t="s">
        <v>2259</v>
      </c>
    </row>
    <row r="767" spans="1:33" ht="24" customHeight="1">
      <c r="A767" s="792">
        <f t="shared" ref="A767:A784" si="110">(A766+1)</f>
        <v>562</v>
      </c>
      <c r="B767" s="374" t="s">
        <v>2114</v>
      </c>
      <c r="C767" s="283">
        <v>218</v>
      </c>
      <c r="D767" s="374" t="s">
        <v>1716</v>
      </c>
      <c r="F767" s="283">
        <v>19</v>
      </c>
      <c r="G767" s="283" t="s">
        <v>1432</v>
      </c>
      <c r="H767" s="374" t="s">
        <v>777</v>
      </c>
      <c r="I767" s="283">
        <v>2</v>
      </c>
      <c r="J767" s="374" t="s">
        <v>1432</v>
      </c>
      <c r="K767" s="283">
        <f t="shared" si="107"/>
        <v>38</v>
      </c>
      <c r="O767" s="374" t="s">
        <v>717</v>
      </c>
      <c r="S767" s="746">
        <v>3.5</v>
      </c>
      <c r="T767" s="283" t="s">
        <v>1432</v>
      </c>
      <c r="U767" s="283" t="s">
        <v>465</v>
      </c>
      <c r="V767" s="283">
        <f t="shared" si="109"/>
        <v>932</v>
      </c>
      <c r="W767" s="744"/>
      <c r="X767" s="283">
        <f t="shared" si="108"/>
        <v>3262</v>
      </c>
      <c r="AE767" s="283" t="str">
        <f t="shared" si="105"/>
        <v>|</v>
      </c>
      <c r="AG767" s="374" t="s">
        <v>2259</v>
      </c>
    </row>
    <row r="768" spans="1:33" ht="24" customHeight="1">
      <c r="A768" s="792">
        <f t="shared" si="110"/>
        <v>563</v>
      </c>
      <c r="B768" s="374" t="s">
        <v>718</v>
      </c>
      <c r="C768" s="283">
        <v>926</v>
      </c>
      <c r="D768" s="374" t="s">
        <v>1716</v>
      </c>
      <c r="H768" s="374" t="s">
        <v>504</v>
      </c>
      <c r="K768" s="748" t="s">
        <v>1586</v>
      </c>
      <c r="O768" s="374" t="s">
        <v>86</v>
      </c>
      <c r="S768" s="746">
        <v>21.2</v>
      </c>
      <c r="T768" s="283" t="s">
        <v>1432</v>
      </c>
      <c r="U768" s="283" t="s">
        <v>3463</v>
      </c>
      <c r="V768" s="283">
        <f t="shared" si="109"/>
        <v>651</v>
      </c>
      <c r="W768" s="744"/>
      <c r="X768" s="283">
        <f t="shared" si="108"/>
        <v>13801.2</v>
      </c>
      <c r="AE768" s="283" t="str">
        <f t="shared" si="105"/>
        <v>|</v>
      </c>
      <c r="AG768" s="374" t="s">
        <v>2259</v>
      </c>
    </row>
    <row r="769" spans="1:33" ht="24" customHeight="1">
      <c r="A769" s="792">
        <f t="shared" si="110"/>
        <v>564</v>
      </c>
      <c r="B769" s="374" t="s">
        <v>87</v>
      </c>
      <c r="C769" s="283">
        <v>5.15</v>
      </c>
      <c r="D769" s="374" t="s">
        <v>1771</v>
      </c>
      <c r="H769" s="744" t="s">
        <v>441</v>
      </c>
      <c r="K769" s="283">
        <f>SUM(K758:K767)+0.07</f>
        <v>9466.18</v>
      </c>
      <c r="O769" s="748" t="s">
        <v>1586</v>
      </c>
      <c r="S769" s="746">
        <v>35.299999999999997</v>
      </c>
      <c r="T769" s="283" t="s">
        <v>1432</v>
      </c>
      <c r="U769" s="283" t="s">
        <v>3464</v>
      </c>
      <c r="V769" s="283">
        <f t="shared" si="109"/>
        <v>534</v>
      </c>
      <c r="W769" s="744"/>
      <c r="X769" s="283">
        <f t="shared" si="108"/>
        <v>18850.2</v>
      </c>
      <c r="AE769" s="283" t="str">
        <f t="shared" si="105"/>
        <v>|</v>
      </c>
      <c r="AG769" s="374" t="s">
        <v>2259</v>
      </c>
    </row>
    <row r="770" spans="1:33" ht="24" customHeight="1">
      <c r="A770" s="792">
        <f t="shared" si="110"/>
        <v>565</v>
      </c>
      <c r="B770" s="374" t="s">
        <v>567</v>
      </c>
      <c r="C770" s="283">
        <v>550</v>
      </c>
      <c r="D770" s="374" t="s">
        <v>1716</v>
      </c>
      <c r="K770" s="748" t="s">
        <v>1586</v>
      </c>
      <c r="U770" s="751" t="s">
        <v>4003</v>
      </c>
      <c r="W770" s="744"/>
      <c r="X770" s="751">
        <f>SUM(X762:X769)</f>
        <v>85421.41</v>
      </c>
      <c r="AE770" s="283" t="str">
        <f t="shared" si="105"/>
        <v>|</v>
      </c>
      <c r="AG770" s="374" t="s">
        <v>2259</v>
      </c>
    </row>
    <row r="771" spans="1:33" ht="24" customHeight="1">
      <c r="A771" s="792">
        <f t="shared" si="110"/>
        <v>566</v>
      </c>
      <c r="B771" s="374" t="s">
        <v>978</v>
      </c>
      <c r="C771" s="283">
        <v>286</v>
      </c>
      <c r="D771" s="374" t="s">
        <v>1716</v>
      </c>
      <c r="H771" s="744" t="s">
        <v>552</v>
      </c>
      <c r="K771" s="283">
        <f>(K769/10)</f>
        <v>946.62</v>
      </c>
      <c r="O771" s="374" t="s">
        <v>899</v>
      </c>
      <c r="R771" s="283">
        <f>(C724)</f>
        <v>1183.82</v>
      </c>
      <c r="U771" s="751" t="s">
        <v>4004</v>
      </c>
      <c r="W771" s="744"/>
      <c r="X771" s="751">
        <f>X770/10</f>
        <v>8542.14</v>
      </c>
      <c r="AE771" s="283" t="str">
        <f t="shared" si="105"/>
        <v>|</v>
      </c>
      <c r="AG771" s="374" t="s">
        <v>2259</v>
      </c>
    </row>
    <row r="772" spans="1:33" ht="24" customHeight="1">
      <c r="A772" s="792">
        <f t="shared" si="110"/>
        <v>567</v>
      </c>
      <c r="B772" s="374" t="s">
        <v>900</v>
      </c>
      <c r="C772" s="283">
        <v>96.3</v>
      </c>
      <c r="D772" s="374" t="s">
        <v>1771</v>
      </c>
      <c r="F772" s="374" t="s">
        <v>975</v>
      </c>
      <c r="R772" s="748" t="s">
        <v>2055</v>
      </c>
      <c r="S772" s="746">
        <v>1</v>
      </c>
      <c r="T772" s="283" t="s">
        <v>1341</v>
      </c>
      <c r="U772" s="283" t="s">
        <v>4030</v>
      </c>
      <c r="V772" s="283">
        <f>V808</f>
        <v>94.2</v>
      </c>
      <c r="W772" s="744"/>
      <c r="X772" s="283">
        <f>V772</f>
        <v>94.2</v>
      </c>
      <c r="AE772" s="283" t="str">
        <f t="shared" si="105"/>
        <v>|</v>
      </c>
      <c r="AG772" s="374" t="s">
        <v>2259</v>
      </c>
    </row>
    <row r="773" spans="1:33" ht="24" customHeight="1">
      <c r="A773" s="792">
        <f t="shared" si="110"/>
        <v>568</v>
      </c>
      <c r="B773" s="374" t="s">
        <v>839</v>
      </c>
      <c r="C773" s="283">
        <v>51</v>
      </c>
      <c r="D773" s="374" t="s">
        <v>1716</v>
      </c>
      <c r="K773" s="748" t="s">
        <v>2055</v>
      </c>
      <c r="U773" s="283" t="s">
        <v>4005</v>
      </c>
      <c r="W773" s="744"/>
      <c r="X773" s="751">
        <f>SUM(X771:X772)</f>
        <v>8636.34</v>
      </c>
      <c r="AE773" s="283" t="str">
        <f t="shared" si="105"/>
        <v>|</v>
      </c>
      <c r="AG773" s="374" t="s">
        <v>2259</v>
      </c>
    </row>
    <row r="774" spans="1:33" ht="24" customHeight="1">
      <c r="A774" s="792">
        <f t="shared" si="110"/>
        <v>569</v>
      </c>
      <c r="B774" s="374" t="s">
        <v>554</v>
      </c>
      <c r="C774" s="283">
        <v>181</v>
      </c>
      <c r="D774" s="374" t="s">
        <v>783</v>
      </c>
      <c r="F774" s="744" t="s">
        <v>1490</v>
      </c>
      <c r="G774" s="283" t="s">
        <v>2251</v>
      </c>
      <c r="H774" s="374" t="s">
        <v>716</v>
      </c>
      <c r="N774" s="374" t="s">
        <v>2251</v>
      </c>
      <c r="O774" s="374" t="s">
        <v>556</v>
      </c>
      <c r="S774" s="790" t="s">
        <v>657</v>
      </c>
      <c r="U774" s="283" t="s">
        <v>4006</v>
      </c>
      <c r="V774" s="790" t="s">
        <v>657</v>
      </c>
      <c r="W774" s="744"/>
      <c r="X774" s="283">
        <f>X773*0.5%</f>
        <v>43.18</v>
      </c>
      <c r="AE774" s="283" t="str">
        <f t="shared" si="105"/>
        <v>|</v>
      </c>
      <c r="AG774" s="374" t="s">
        <v>2259</v>
      </c>
    </row>
    <row r="775" spans="1:33" ht="24" customHeight="1">
      <c r="A775" s="792">
        <f t="shared" si="110"/>
        <v>570</v>
      </c>
      <c r="B775" s="374" t="s">
        <v>557</v>
      </c>
      <c r="C775" s="283">
        <v>36.200000000000003</v>
      </c>
      <c r="D775" s="374" t="s">
        <v>1771</v>
      </c>
      <c r="H775" s="374" t="s">
        <v>719</v>
      </c>
      <c r="O775" s="748" t="s">
        <v>2055</v>
      </c>
      <c r="P775" s="748" t="s">
        <v>2055</v>
      </c>
      <c r="Q775" s="748" t="s">
        <v>2055</v>
      </c>
      <c r="R775" s="374" t="s">
        <v>1002</v>
      </c>
      <c r="U775" s="751" t="s">
        <v>3588</v>
      </c>
      <c r="W775" s="744"/>
      <c r="X775" s="751">
        <f>SUM(X773:X774)</f>
        <v>8679.52</v>
      </c>
      <c r="AE775" s="283" t="str">
        <f t="shared" si="105"/>
        <v>|</v>
      </c>
      <c r="AG775" s="374" t="s">
        <v>2259</v>
      </c>
    </row>
    <row r="776" spans="1:33" ht="24" customHeight="1">
      <c r="A776" s="792">
        <f t="shared" si="110"/>
        <v>571</v>
      </c>
      <c r="B776" s="374" t="s">
        <v>658</v>
      </c>
      <c r="C776" s="283">
        <v>98</v>
      </c>
      <c r="D776" s="374" t="s">
        <v>1716</v>
      </c>
      <c r="H776" s="374" t="s">
        <v>2273</v>
      </c>
      <c r="O776" s="374" t="s">
        <v>1433</v>
      </c>
      <c r="Q776" s="744" t="s">
        <v>826</v>
      </c>
      <c r="R776" s="283">
        <f>(C727)</f>
        <v>147.6</v>
      </c>
      <c r="W776" s="744"/>
      <c r="X776" s="748" t="s">
        <v>1586</v>
      </c>
      <c r="AE776" s="283" t="str">
        <f t="shared" si="105"/>
        <v>|</v>
      </c>
      <c r="AG776" s="374" t="s">
        <v>2259</v>
      </c>
    </row>
    <row r="777" spans="1:33" ht="24" customHeight="1">
      <c r="A777" s="792">
        <f t="shared" si="110"/>
        <v>572</v>
      </c>
      <c r="B777" s="374" t="s">
        <v>1959</v>
      </c>
      <c r="C777" s="283">
        <v>92</v>
      </c>
      <c r="D777" s="374" t="s">
        <v>1771</v>
      </c>
      <c r="H777" s="748" t="s">
        <v>1586</v>
      </c>
      <c r="O777" s="374" t="s">
        <v>2083</v>
      </c>
      <c r="U777" s="374" t="s">
        <v>386</v>
      </c>
      <c r="W777" s="744"/>
      <c r="X777" s="751">
        <f>(X775+C22)</f>
        <v>8799.3700000000008</v>
      </c>
      <c r="AE777" s="283" t="str">
        <f t="shared" si="105"/>
        <v>|::</v>
      </c>
      <c r="AG777" s="374" t="s">
        <v>321</v>
      </c>
    </row>
    <row r="778" spans="1:33" ht="24" customHeight="1">
      <c r="A778" s="792">
        <f t="shared" si="110"/>
        <v>573</v>
      </c>
      <c r="B778" s="374" t="s">
        <v>324</v>
      </c>
      <c r="C778" s="283">
        <v>49.42</v>
      </c>
      <c r="D778" s="374" t="s">
        <v>1716</v>
      </c>
      <c r="F778" s="283">
        <v>10</v>
      </c>
      <c r="G778" s="283" t="s">
        <v>609</v>
      </c>
      <c r="H778" s="374" t="s">
        <v>898</v>
      </c>
      <c r="I778" s="283">
        <f>(K758)*1.2</f>
        <v>550.16</v>
      </c>
      <c r="J778" s="374" t="s">
        <v>259</v>
      </c>
      <c r="K778" s="283">
        <f>(F778*I778)/10</f>
        <v>550.16</v>
      </c>
      <c r="O778" s="374" t="s">
        <v>325</v>
      </c>
      <c r="U778" s="374" t="s">
        <v>388</v>
      </c>
      <c r="W778" s="744"/>
      <c r="X778" s="751">
        <f>(X777+C24)</f>
        <v>9035.4699999999993</v>
      </c>
      <c r="AE778" s="283">
        <f t="shared" si="105"/>
        <v>0</v>
      </c>
    </row>
    <row r="779" spans="1:33" ht="24" customHeight="1">
      <c r="A779" s="792">
        <f t="shared" si="110"/>
        <v>574</v>
      </c>
      <c r="B779" s="374" t="s">
        <v>715</v>
      </c>
      <c r="C779" s="283">
        <v>53.2</v>
      </c>
      <c r="D779" s="374" t="s">
        <v>1716</v>
      </c>
      <c r="H779" s="374" t="s">
        <v>901</v>
      </c>
      <c r="O779" s="374" t="s">
        <v>1042</v>
      </c>
      <c r="U779" s="374" t="s">
        <v>2232</v>
      </c>
      <c r="W779" s="744"/>
      <c r="X779" s="751">
        <f>(X778+C24)</f>
        <v>9271.57</v>
      </c>
      <c r="AE779" s="283">
        <f t="shared" si="105"/>
        <v>0</v>
      </c>
    </row>
    <row r="780" spans="1:33" ht="24" customHeight="1">
      <c r="A780" s="792">
        <f t="shared" si="110"/>
        <v>575</v>
      </c>
      <c r="B780" s="374" t="s">
        <v>1043</v>
      </c>
      <c r="C780" s="283">
        <v>59</v>
      </c>
      <c r="D780" s="374" t="s">
        <v>1716</v>
      </c>
      <c r="H780" s="374" t="s">
        <v>840</v>
      </c>
      <c r="O780" s="374" t="s">
        <v>1101</v>
      </c>
      <c r="U780" s="374" t="s">
        <v>380</v>
      </c>
      <c r="W780" s="744"/>
      <c r="X780" s="751">
        <f>(X779+C24)</f>
        <v>9507.67</v>
      </c>
      <c r="AE780" s="283" t="str">
        <f t="shared" si="105"/>
        <v>|</v>
      </c>
      <c r="AG780" s="374" t="s">
        <v>2259</v>
      </c>
    </row>
    <row r="781" spans="1:33" ht="24" customHeight="1">
      <c r="A781" s="792">
        <f t="shared" si="110"/>
        <v>576</v>
      </c>
      <c r="B781" s="374" t="s">
        <v>961</v>
      </c>
      <c r="C781" s="283">
        <v>100</v>
      </c>
      <c r="D781" s="374" t="s">
        <v>1716</v>
      </c>
      <c r="F781" s="283">
        <v>10</v>
      </c>
      <c r="G781" s="283" t="s">
        <v>609</v>
      </c>
      <c r="H781" s="374" t="s">
        <v>555</v>
      </c>
      <c r="I781" s="283">
        <f>K760*1.2</f>
        <v>446.4</v>
      </c>
      <c r="J781" s="374" t="s">
        <v>259</v>
      </c>
      <c r="K781" s="283">
        <f>(F781*I781)/10</f>
        <v>446.4</v>
      </c>
      <c r="O781" s="374" t="s">
        <v>1110</v>
      </c>
      <c r="R781" s="374" t="s">
        <v>975</v>
      </c>
      <c r="U781" s="374" t="s">
        <v>1532</v>
      </c>
      <c r="W781" s="744"/>
      <c r="X781" s="751">
        <f>(X780+C$24)</f>
        <v>9743.77</v>
      </c>
      <c r="AE781" s="283">
        <f t="shared" si="105"/>
        <v>0</v>
      </c>
    </row>
    <row r="782" spans="1:33" ht="24" customHeight="1">
      <c r="A782" s="792">
        <f t="shared" si="110"/>
        <v>577</v>
      </c>
      <c r="B782" s="374" t="s">
        <v>1111</v>
      </c>
      <c r="C782" s="283">
        <v>49.52</v>
      </c>
      <c r="D782" s="374" t="s">
        <v>1771</v>
      </c>
      <c r="H782" s="374" t="s">
        <v>1001</v>
      </c>
      <c r="O782" s="374" t="s">
        <v>975</v>
      </c>
      <c r="W782" s="744"/>
      <c r="X782" s="751">
        <f>(X781+C$24)</f>
        <v>9979.8700000000008</v>
      </c>
      <c r="AE782" s="283" t="str">
        <f t="shared" si="105"/>
        <v>|</v>
      </c>
      <c r="AG782" s="374" t="s">
        <v>2259</v>
      </c>
    </row>
    <row r="783" spans="1:33" ht="24" customHeight="1">
      <c r="A783" s="792">
        <f t="shared" si="110"/>
        <v>578</v>
      </c>
      <c r="B783" s="374" t="s">
        <v>2125</v>
      </c>
      <c r="C783" s="283">
        <v>1080</v>
      </c>
      <c r="D783" s="374" t="s">
        <v>1716</v>
      </c>
      <c r="H783" s="374" t="s">
        <v>816</v>
      </c>
      <c r="W783" s="744"/>
      <c r="X783" s="751">
        <f>(X782+C$24)</f>
        <v>10215.969999999999</v>
      </c>
      <c r="AE783" s="283" t="str">
        <f t="shared" si="105"/>
        <v>|</v>
      </c>
      <c r="AG783" s="374" t="s">
        <v>2259</v>
      </c>
    </row>
    <row r="784" spans="1:33" ht="24" customHeight="1">
      <c r="A784" s="792">
        <f t="shared" si="110"/>
        <v>579</v>
      </c>
      <c r="B784" s="374" t="s">
        <v>4232</v>
      </c>
      <c r="C784" s="283">
        <v>387.4</v>
      </c>
      <c r="D784" s="374" t="s">
        <v>609</v>
      </c>
      <c r="F784" s="283">
        <v>98.5</v>
      </c>
      <c r="G784" s="283" t="s">
        <v>826</v>
      </c>
      <c r="H784" s="374" t="s">
        <v>827</v>
      </c>
      <c r="I784" s="283">
        <f>C271/5</f>
        <v>5.04</v>
      </c>
      <c r="J784" s="374" t="s">
        <v>259</v>
      </c>
      <c r="K784" s="283">
        <f t="shared" ref="K784:K790" si="111">(F784*I784)</f>
        <v>496.44</v>
      </c>
      <c r="N784" s="374" t="s">
        <v>2251</v>
      </c>
      <c r="O784" s="374" t="s">
        <v>2127</v>
      </c>
      <c r="Q784" s="744" t="s">
        <v>2283</v>
      </c>
      <c r="R784" s="283">
        <f>(C731)</f>
        <v>1250</v>
      </c>
      <c r="W784" s="744"/>
      <c r="X784" s="751">
        <f>(X783+C$24)</f>
        <v>10452.07</v>
      </c>
      <c r="AE784" s="283" t="str">
        <f t="shared" si="105"/>
        <v>|</v>
      </c>
      <c r="AG784" s="374" t="s">
        <v>2259</v>
      </c>
    </row>
    <row r="785" spans="1:33" ht="24" customHeight="1">
      <c r="A785" s="792" t="e">
        <f>(#REF!+1)</f>
        <v>#REF!</v>
      </c>
      <c r="B785" s="374" t="s">
        <v>1397</v>
      </c>
      <c r="F785" s="283">
        <v>3.8</v>
      </c>
      <c r="G785" s="283" t="s">
        <v>769</v>
      </c>
      <c r="H785" s="374" t="s">
        <v>501</v>
      </c>
      <c r="I785" s="283">
        <f>(C16)</f>
        <v>976</v>
      </c>
      <c r="J785" s="374" t="s">
        <v>769</v>
      </c>
      <c r="K785" s="283">
        <f t="shared" si="111"/>
        <v>3708.8</v>
      </c>
      <c r="O785" s="374" t="s">
        <v>1683</v>
      </c>
      <c r="W785" s="744"/>
      <c r="AE785" s="283" t="str">
        <f t="shared" si="105"/>
        <v>|</v>
      </c>
      <c r="AG785" s="374" t="s">
        <v>2259</v>
      </c>
    </row>
    <row r="786" spans="1:33" ht="24" customHeight="1">
      <c r="A786" s="792"/>
      <c r="B786" s="374" t="s">
        <v>2178</v>
      </c>
      <c r="C786" s="283">
        <v>300</v>
      </c>
      <c r="F786" s="283">
        <v>5.4</v>
      </c>
      <c r="G786" s="283" t="s">
        <v>769</v>
      </c>
      <c r="H786" s="374" t="s">
        <v>1902</v>
      </c>
      <c r="I786" s="283">
        <f>(C12)</f>
        <v>651</v>
      </c>
      <c r="J786" s="374" t="s">
        <v>769</v>
      </c>
      <c r="K786" s="283">
        <f t="shared" si="111"/>
        <v>3515.4</v>
      </c>
      <c r="O786" s="374" t="s">
        <v>317</v>
      </c>
      <c r="W786" s="744"/>
      <c r="AE786" s="283" t="str">
        <f t="shared" si="105"/>
        <v>|</v>
      </c>
      <c r="AG786" s="374" t="s">
        <v>2259</v>
      </c>
    </row>
    <row r="787" spans="1:33" ht="24" customHeight="1">
      <c r="A787" s="792"/>
      <c r="B787" s="744" t="s">
        <v>774</v>
      </c>
      <c r="C787" s="283">
        <v>302</v>
      </c>
      <c r="F787" s="283">
        <v>1</v>
      </c>
      <c r="G787" s="283" t="s">
        <v>769</v>
      </c>
      <c r="H787" s="374" t="s">
        <v>2286</v>
      </c>
      <c r="I787" s="283">
        <f>C67</f>
        <v>856</v>
      </c>
      <c r="J787" s="374" t="s">
        <v>1398</v>
      </c>
      <c r="K787" s="283">
        <f t="shared" si="111"/>
        <v>856</v>
      </c>
      <c r="O787" s="374" t="s">
        <v>1267</v>
      </c>
      <c r="W787" s="744"/>
      <c r="AE787" s="283" t="str">
        <f t="shared" si="105"/>
        <v>|</v>
      </c>
      <c r="AG787" s="374" t="s">
        <v>2259</v>
      </c>
    </row>
    <row r="788" spans="1:33" ht="24" customHeight="1">
      <c r="A788" s="792"/>
      <c r="B788" s="374" t="s">
        <v>1268</v>
      </c>
      <c r="C788" s="283">
        <v>324</v>
      </c>
      <c r="F788" s="283">
        <v>1</v>
      </c>
      <c r="G788" s="283" t="s">
        <v>449</v>
      </c>
      <c r="H788" s="374" t="s">
        <v>962</v>
      </c>
      <c r="I788" s="283">
        <f>I762</f>
        <v>11</v>
      </c>
      <c r="J788" s="374" t="s">
        <v>1398</v>
      </c>
      <c r="K788" s="283">
        <f t="shared" si="111"/>
        <v>11</v>
      </c>
      <c r="W788" s="744"/>
      <c r="AE788" s="283" t="str">
        <f t="shared" si="105"/>
        <v>|</v>
      </c>
      <c r="AG788" s="374" t="s">
        <v>2259</v>
      </c>
    </row>
    <row r="789" spans="1:33" ht="24" customHeight="1">
      <c r="A789" s="792"/>
      <c r="B789" s="374" t="s">
        <v>776</v>
      </c>
      <c r="C789" s="283">
        <v>382</v>
      </c>
      <c r="F789" s="283">
        <v>1</v>
      </c>
      <c r="G789" s="283" t="s">
        <v>449</v>
      </c>
      <c r="H789" s="374" t="s">
        <v>1298</v>
      </c>
      <c r="I789" s="283">
        <v>10</v>
      </c>
      <c r="J789" s="374" t="s">
        <v>449</v>
      </c>
      <c r="K789" s="283">
        <f t="shared" si="111"/>
        <v>10</v>
      </c>
      <c r="N789" s="374" t="s">
        <v>2251</v>
      </c>
      <c r="O789" s="374" t="s">
        <v>594</v>
      </c>
      <c r="W789" s="744"/>
      <c r="AE789" s="283" t="str">
        <f t="shared" si="105"/>
        <v>|</v>
      </c>
      <c r="AG789" s="374" t="s">
        <v>2259</v>
      </c>
    </row>
    <row r="790" spans="1:33" ht="24" customHeight="1">
      <c r="A790" s="792"/>
      <c r="B790" s="374" t="s">
        <v>612</v>
      </c>
      <c r="C790" s="283">
        <v>505</v>
      </c>
      <c r="F790" s="283">
        <v>19</v>
      </c>
      <c r="G790" s="283" t="s">
        <v>1432</v>
      </c>
      <c r="H790" s="374" t="s">
        <v>2126</v>
      </c>
      <c r="I790" s="283">
        <v>2</v>
      </c>
      <c r="J790" s="374" t="s">
        <v>1432</v>
      </c>
      <c r="K790" s="283">
        <f t="shared" si="111"/>
        <v>38</v>
      </c>
      <c r="O790" s="374" t="s">
        <v>4082</v>
      </c>
      <c r="R790" s="374" t="s">
        <v>975</v>
      </c>
      <c r="W790" s="744"/>
      <c r="AE790" s="283" t="str">
        <f t="shared" si="105"/>
        <v>|</v>
      </c>
      <c r="AG790" s="374" t="s">
        <v>2259</v>
      </c>
    </row>
    <row r="791" spans="1:33" ht="24" customHeight="1">
      <c r="A791" s="792"/>
      <c r="B791" s="374" t="s">
        <v>570</v>
      </c>
      <c r="C791" s="283">
        <v>140</v>
      </c>
      <c r="H791" s="374" t="s">
        <v>75</v>
      </c>
      <c r="O791" s="374" t="s">
        <v>2090</v>
      </c>
      <c r="W791" s="744"/>
      <c r="AE791" s="283" t="str">
        <f t="shared" si="105"/>
        <v>|</v>
      </c>
      <c r="AG791" s="374" t="s">
        <v>2259</v>
      </c>
    </row>
    <row r="792" spans="1:33" ht="24" customHeight="1">
      <c r="A792" s="792"/>
      <c r="B792" s="374" t="s">
        <v>838</v>
      </c>
      <c r="C792" s="283">
        <v>222</v>
      </c>
      <c r="K792" s="748" t="s">
        <v>1586</v>
      </c>
      <c r="O792" s="748" t="s">
        <v>1586</v>
      </c>
      <c r="W792" s="744"/>
      <c r="AE792" s="283" t="str">
        <f t="shared" si="105"/>
        <v>|</v>
      </c>
      <c r="AG792" s="374" t="s">
        <v>2259</v>
      </c>
    </row>
    <row r="793" spans="1:33" ht="24" customHeight="1">
      <c r="A793" s="792"/>
      <c r="B793" s="374" t="s">
        <v>730</v>
      </c>
      <c r="C793" s="283">
        <v>100</v>
      </c>
      <c r="H793" s="374" t="s">
        <v>441</v>
      </c>
      <c r="K793" s="283">
        <f>SUM(K778:K791)</f>
        <v>9632.2000000000007</v>
      </c>
      <c r="N793" s="374" t="s">
        <v>233</v>
      </c>
      <c r="O793" s="374" t="s">
        <v>4081</v>
      </c>
      <c r="P793" s="283">
        <f>(C273)</f>
        <v>306.89999999999998</v>
      </c>
      <c r="Q793" s="374" t="s">
        <v>233</v>
      </c>
      <c r="R793" s="283">
        <f>M793*P793</f>
        <v>0</v>
      </c>
      <c r="W793" s="744"/>
      <c r="AE793" s="283" t="str">
        <f t="shared" si="105"/>
        <v>|</v>
      </c>
      <c r="AG793" s="374" t="s">
        <v>2259</v>
      </c>
    </row>
    <row r="794" spans="1:33" ht="24" customHeight="1">
      <c r="A794" s="792"/>
      <c r="B794" s="374" t="s">
        <v>498</v>
      </c>
      <c r="C794" s="283">
        <v>75</v>
      </c>
      <c r="K794" s="748" t="s">
        <v>1586</v>
      </c>
      <c r="W794" s="744"/>
      <c r="AE794" s="283" t="str">
        <f t="shared" si="105"/>
        <v>|</v>
      </c>
      <c r="AG794" s="374" t="s">
        <v>2259</v>
      </c>
    </row>
    <row r="795" spans="1:33" ht="24" customHeight="1">
      <c r="A795" s="792"/>
      <c r="B795" s="374" t="s">
        <v>1156</v>
      </c>
      <c r="C795" s="283">
        <v>218</v>
      </c>
      <c r="H795" s="374" t="s">
        <v>552</v>
      </c>
      <c r="K795" s="283">
        <f>(K793/10)</f>
        <v>963.22</v>
      </c>
      <c r="N795" s="374" t="s">
        <v>1158</v>
      </c>
      <c r="O795" s="374" t="s">
        <v>274</v>
      </c>
      <c r="P795" s="283">
        <f>(C16)</f>
        <v>976</v>
      </c>
      <c r="Q795" s="374" t="s">
        <v>1158</v>
      </c>
      <c r="R795" s="283">
        <f>M795*P795</f>
        <v>0</v>
      </c>
      <c r="W795" s="744"/>
      <c r="AE795" s="283" t="str">
        <f t="shared" si="105"/>
        <v>|</v>
      </c>
      <c r="AG795" s="374" t="s">
        <v>2259</v>
      </c>
    </row>
    <row r="796" spans="1:33" ht="24" customHeight="1">
      <c r="A796" s="792"/>
      <c r="B796" s="374" t="s">
        <v>275</v>
      </c>
      <c r="C796" s="283">
        <v>1854</v>
      </c>
      <c r="K796" s="748" t="s">
        <v>2055</v>
      </c>
      <c r="W796" s="744"/>
      <c r="AE796" s="283" t="str">
        <f t="shared" si="105"/>
        <v>|</v>
      </c>
      <c r="AG796" s="374" t="s">
        <v>2259</v>
      </c>
    </row>
    <row r="797" spans="1:33" ht="24" customHeight="1">
      <c r="A797" s="792"/>
      <c r="B797" s="374" t="s">
        <v>162</v>
      </c>
      <c r="C797" s="283">
        <v>51</v>
      </c>
      <c r="O797" s="374" t="s">
        <v>1326</v>
      </c>
      <c r="P797" s="784" t="s">
        <v>449</v>
      </c>
      <c r="R797" s="283">
        <v>0.64</v>
      </c>
      <c r="W797" s="744"/>
      <c r="AE797" s="283" t="str">
        <f t="shared" si="105"/>
        <v>|</v>
      </c>
      <c r="AG797" s="374" t="s">
        <v>2259</v>
      </c>
    </row>
    <row r="798" spans="1:33" ht="24" customHeight="1">
      <c r="A798" s="792"/>
      <c r="B798" s="374" t="s">
        <v>1382</v>
      </c>
      <c r="C798" s="283">
        <v>915</v>
      </c>
      <c r="F798" s="744" t="s">
        <v>885</v>
      </c>
      <c r="G798" s="283" t="s">
        <v>2251</v>
      </c>
      <c r="H798" s="374" t="s">
        <v>716</v>
      </c>
      <c r="R798" s="748" t="s">
        <v>1586</v>
      </c>
      <c r="W798" s="744"/>
      <c r="AE798" s="283" t="str">
        <f t="shared" si="105"/>
        <v>|</v>
      </c>
      <c r="AG798" s="374" t="s">
        <v>2259</v>
      </c>
    </row>
    <row r="799" spans="1:33" ht="24" customHeight="1">
      <c r="A799" s="792"/>
      <c r="B799" s="374" t="s">
        <v>131</v>
      </c>
      <c r="C799" s="283">
        <v>890</v>
      </c>
      <c r="H799" s="374" t="s">
        <v>719</v>
      </c>
      <c r="O799" s="374" t="s">
        <v>1930</v>
      </c>
      <c r="R799" s="283">
        <f>SUM(R793:R797)</f>
        <v>0.64</v>
      </c>
      <c r="W799" s="744"/>
      <c r="AE799" s="283" t="str">
        <f t="shared" si="105"/>
        <v>|</v>
      </c>
      <c r="AG799" s="374" t="s">
        <v>2259</v>
      </c>
    </row>
    <row r="800" spans="1:33" ht="24" customHeight="1">
      <c r="A800" s="792"/>
      <c r="B800" s="374" t="s">
        <v>1931</v>
      </c>
      <c r="C800" s="283">
        <v>5.15</v>
      </c>
      <c r="H800" s="374" t="s">
        <v>277</v>
      </c>
      <c r="R800" s="748" t="s">
        <v>1586</v>
      </c>
      <c r="U800" s="751" t="s">
        <v>3468</v>
      </c>
      <c r="W800" s="744"/>
      <c r="AE800" s="283" t="str">
        <f t="shared" si="105"/>
        <v>|</v>
      </c>
      <c r="AG800" s="374" t="s">
        <v>2259</v>
      </c>
    </row>
    <row r="801" spans="1:33" ht="24" customHeight="1">
      <c r="A801" s="792"/>
      <c r="B801" s="374" t="s">
        <v>1410</v>
      </c>
      <c r="C801" s="283">
        <v>43.3</v>
      </c>
      <c r="H801" s="748" t="s">
        <v>1586</v>
      </c>
      <c r="O801" s="374" t="s">
        <v>1412</v>
      </c>
      <c r="R801" s="283">
        <f>(R799/0.4)</f>
        <v>1.6</v>
      </c>
      <c r="S801" s="746">
        <v>0.443</v>
      </c>
      <c r="T801" s="283" t="s">
        <v>1341</v>
      </c>
      <c r="U801" s="283" t="s">
        <v>3461</v>
      </c>
      <c r="V801" s="283">
        <f>AC14</f>
        <v>1582.2</v>
      </c>
      <c r="W801" s="744"/>
      <c r="X801" s="283">
        <f>V801*S801</f>
        <v>700.91</v>
      </c>
      <c r="AE801" s="283" t="str">
        <f t="shared" si="105"/>
        <v>|</v>
      </c>
      <c r="AG801" s="374" t="s">
        <v>2259</v>
      </c>
    </row>
    <row r="802" spans="1:33" ht="24" customHeight="1">
      <c r="A802" s="792"/>
      <c r="B802" s="374" t="s">
        <v>79</v>
      </c>
      <c r="C802" s="283">
        <v>920</v>
      </c>
      <c r="H802" s="374" t="s">
        <v>1157</v>
      </c>
      <c r="K802" s="283">
        <f>(K733/2)</f>
        <v>475.28</v>
      </c>
      <c r="R802" s="748" t="s">
        <v>2055</v>
      </c>
      <c r="S802" s="746">
        <v>0.29499999999999998</v>
      </c>
      <c r="T802" s="283" t="s">
        <v>1341</v>
      </c>
      <c r="U802" s="283" t="s">
        <v>3462</v>
      </c>
      <c r="V802" s="283">
        <f>AC12</f>
        <v>1109.2</v>
      </c>
      <c r="W802" s="744"/>
      <c r="X802" s="283">
        <f t="shared" ref="X802:X808" si="112">V802*S802</f>
        <v>327.20999999999998</v>
      </c>
      <c r="AE802" s="283" t="str">
        <f t="shared" si="105"/>
        <v>|</v>
      </c>
      <c r="AG802" s="374" t="s">
        <v>2259</v>
      </c>
    </row>
    <row r="803" spans="1:33" ht="24" customHeight="1">
      <c r="A803" s="792"/>
      <c r="B803" s="374" t="s">
        <v>80</v>
      </c>
      <c r="C803" s="283">
        <v>98</v>
      </c>
      <c r="H803" s="374" t="s">
        <v>276</v>
      </c>
      <c r="K803" s="748" t="s">
        <v>2055</v>
      </c>
      <c r="N803" s="374"/>
      <c r="O803" s="374"/>
      <c r="S803" s="746">
        <v>0.43</v>
      </c>
      <c r="T803" s="283" t="s">
        <v>1341</v>
      </c>
      <c r="U803" s="283" t="s">
        <v>1065</v>
      </c>
      <c r="V803" s="283">
        <f>I810</f>
        <v>2074.06</v>
      </c>
      <c r="W803" s="744"/>
      <c r="X803" s="283">
        <f t="shared" si="112"/>
        <v>891.85</v>
      </c>
      <c r="AE803" s="283" t="str">
        <f t="shared" si="105"/>
        <v>|</v>
      </c>
      <c r="AG803" s="374" t="s">
        <v>2259</v>
      </c>
    </row>
    <row r="804" spans="1:33" ht="24" customHeight="1">
      <c r="A804" s="792"/>
      <c r="B804" s="374" t="s">
        <v>2116</v>
      </c>
      <c r="C804" s="283">
        <v>181</v>
      </c>
      <c r="F804" s="744" t="s">
        <v>163</v>
      </c>
      <c r="G804" s="283" t="s">
        <v>2251</v>
      </c>
      <c r="H804" s="374" t="s">
        <v>164</v>
      </c>
      <c r="O804" s="374"/>
      <c r="S804" s="746">
        <v>0.39</v>
      </c>
      <c r="T804" s="283" t="s">
        <v>528</v>
      </c>
      <c r="U804" s="283" t="s">
        <v>390</v>
      </c>
      <c r="V804" s="283">
        <f>I809</f>
        <v>6040</v>
      </c>
      <c r="W804" s="744"/>
      <c r="X804" s="283">
        <f t="shared" si="112"/>
        <v>2355.6</v>
      </c>
      <c r="AE804" s="283" t="str">
        <f t="shared" si="105"/>
        <v>|</v>
      </c>
      <c r="AG804" s="374" t="s">
        <v>2259</v>
      </c>
    </row>
    <row r="805" spans="1:33" ht="24" customHeight="1">
      <c r="A805" s="792"/>
      <c r="B805" s="374" t="s">
        <v>91</v>
      </c>
      <c r="C805" s="283">
        <v>1148.76</v>
      </c>
      <c r="H805" s="374" t="s">
        <v>1383</v>
      </c>
      <c r="O805" s="374"/>
      <c r="S805" s="746">
        <v>0.35</v>
      </c>
      <c r="T805" s="283" t="s">
        <v>1432</v>
      </c>
      <c r="U805" s="283" t="s">
        <v>465</v>
      </c>
      <c r="V805" s="283">
        <f>I811</f>
        <v>932</v>
      </c>
      <c r="W805" s="744" t="str">
        <f>J811</f>
        <v>NO.</v>
      </c>
      <c r="X805" s="283">
        <f t="shared" si="112"/>
        <v>326.2</v>
      </c>
      <c r="AE805" s="283" t="str">
        <f t="shared" si="105"/>
        <v>|</v>
      </c>
      <c r="AG805" s="374" t="s">
        <v>2259</v>
      </c>
    </row>
    <row r="806" spans="1:33" ht="24" customHeight="1">
      <c r="A806" s="792"/>
      <c r="B806" s="374" t="s">
        <v>1549</v>
      </c>
      <c r="C806" s="283">
        <v>967</v>
      </c>
      <c r="H806" s="374" t="s">
        <v>132</v>
      </c>
      <c r="O806" s="748"/>
      <c r="S806" s="746">
        <v>2.12</v>
      </c>
      <c r="T806" s="283" t="s">
        <v>1432</v>
      </c>
      <c r="U806" s="283" t="s">
        <v>3463</v>
      </c>
      <c r="V806" s="283">
        <f>I812</f>
        <v>651</v>
      </c>
      <c r="W806" s="744"/>
      <c r="X806" s="283">
        <f t="shared" si="112"/>
        <v>1380.12</v>
      </c>
      <c r="AE806" s="283" t="str">
        <f t="shared" si="105"/>
        <v>|</v>
      </c>
      <c r="AG806" s="374" t="s">
        <v>2259</v>
      </c>
    </row>
    <row r="807" spans="1:33" ht="24" customHeight="1">
      <c r="A807" s="792"/>
      <c r="B807" s="374" t="s">
        <v>6514</v>
      </c>
      <c r="C807" s="283">
        <v>33.9</v>
      </c>
      <c r="H807" s="748" t="s">
        <v>1586</v>
      </c>
      <c r="N807" s="784"/>
      <c r="O807" s="374"/>
      <c r="S807" s="746">
        <v>3.53</v>
      </c>
      <c r="T807" s="283" t="s">
        <v>1432</v>
      </c>
      <c r="U807" s="283" t="s">
        <v>3464</v>
      </c>
      <c r="V807" s="283">
        <f>I813</f>
        <v>534</v>
      </c>
      <c r="W807" s="744"/>
      <c r="X807" s="283">
        <f t="shared" si="112"/>
        <v>1885.02</v>
      </c>
      <c r="AE807" s="283" t="str">
        <f t="shared" si="105"/>
        <v>|</v>
      </c>
      <c r="AG807" s="374" t="s">
        <v>2259</v>
      </c>
    </row>
    <row r="808" spans="1:33" ht="24" customHeight="1">
      <c r="A808" s="792"/>
      <c r="B808" s="374" t="s">
        <v>1762</v>
      </c>
      <c r="C808" s="283">
        <v>2107</v>
      </c>
      <c r="F808" s="746">
        <v>9</v>
      </c>
      <c r="G808" s="283" t="s">
        <v>869</v>
      </c>
      <c r="H808" s="374" t="s">
        <v>1411</v>
      </c>
      <c r="I808" s="283">
        <f>C74</f>
        <v>1582.2</v>
      </c>
      <c r="J808" s="374" t="s">
        <v>869</v>
      </c>
      <c r="K808" s="283">
        <f t="shared" ref="K808:K813" si="113">F808*I808</f>
        <v>14239.8</v>
      </c>
      <c r="O808" s="374"/>
      <c r="S808" s="746">
        <v>1</v>
      </c>
      <c r="T808" s="283" t="s">
        <v>1341</v>
      </c>
      <c r="U808" s="283" t="s">
        <v>3465</v>
      </c>
      <c r="V808" s="283">
        <f>K820</f>
        <v>94.2</v>
      </c>
      <c r="W808" s="744"/>
      <c r="X808" s="283">
        <f t="shared" si="112"/>
        <v>94.2</v>
      </c>
      <c r="AE808" s="283" t="str">
        <f t="shared" si="105"/>
        <v>|</v>
      </c>
      <c r="AG808" s="374" t="s">
        <v>2259</v>
      </c>
    </row>
    <row r="809" spans="1:33" ht="24" customHeight="1">
      <c r="A809" s="792"/>
      <c r="B809" s="374" t="s">
        <v>5866</v>
      </c>
      <c r="C809" s="283">
        <v>940</v>
      </c>
      <c r="F809" s="746">
        <v>4.3079999999999998</v>
      </c>
      <c r="G809" s="283" t="s">
        <v>861</v>
      </c>
      <c r="H809" s="374" t="s">
        <v>862</v>
      </c>
      <c r="I809" s="283">
        <f>C68</f>
        <v>6040</v>
      </c>
      <c r="J809" s="374" t="s">
        <v>861</v>
      </c>
      <c r="K809" s="283">
        <f t="shared" si="113"/>
        <v>26020.32</v>
      </c>
      <c r="N809" s="374"/>
      <c r="O809" s="374"/>
      <c r="S809" s="790" t="s">
        <v>657</v>
      </c>
      <c r="U809" s="283" t="s">
        <v>3466</v>
      </c>
      <c r="V809" s="790" t="s">
        <v>657</v>
      </c>
      <c r="W809" s="744"/>
      <c r="X809" s="283">
        <v>270</v>
      </c>
      <c r="AE809" s="283" t="str">
        <f t="shared" si="105"/>
        <v>|</v>
      </c>
      <c r="AG809" s="374" t="s">
        <v>2259</v>
      </c>
    </row>
    <row r="810" spans="1:33" ht="24" customHeight="1">
      <c r="A810" s="792"/>
      <c r="B810" s="374" t="s">
        <v>4593</v>
      </c>
      <c r="C810" s="283">
        <v>826</v>
      </c>
      <c r="F810" s="746">
        <v>4.5</v>
      </c>
      <c r="G810" s="283" t="s">
        <v>869</v>
      </c>
      <c r="H810" s="374" t="s">
        <v>870</v>
      </c>
      <c r="I810" s="283">
        <f>C79</f>
        <v>2074.06</v>
      </c>
      <c r="J810" s="374" t="s">
        <v>869</v>
      </c>
      <c r="K810" s="283">
        <f t="shared" si="113"/>
        <v>9333.27</v>
      </c>
      <c r="O810" s="374"/>
      <c r="S810" s="790" t="s">
        <v>657</v>
      </c>
      <c r="U810" s="283" t="s">
        <v>3467</v>
      </c>
      <c r="V810" s="790" t="s">
        <v>657</v>
      </c>
      <c r="W810" s="744"/>
      <c r="X810" s="283">
        <v>150</v>
      </c>
      <c r="AE810" s="283" t="str">
        <f t="shared" si="105"/>
        <v>|</v>
      </c>
      <c r="AG810" s="374" t="s">
        <v>2259</v>
      </c>
    </row>
    <row r="811" spans="1:33" ht="24" customHeight="1">
      <c r="A811" s="792"/>
      <c r="B811" s="374" t="s">
        <v>4594</v>
      </c>
      <c r="C811" s="283">
        <v>644</v>
      </c>
      <c r="F811" s="746">
        <v>3.5</v>
      </c>
      <c r="G811" s="283" t="s">
        <v>868</v>
      </c>
      <c r="H811" s="374" t="s">
        <v>1712</v>
      </c>
      <c r="I811" s="283">
        <f>C11</f>
        <v>932</v>
      </c>
      <c r="J811" s="374" t="s">
        <v>868</v>
      </c>
      <c r="K811" s="283">
        <f t="shared" si="113"/>
        <v>3262</v>
      </c>
      <c r="O811" s="374"/>
      <c r="S811" s="790" t="s">
        <v>657</v>
      </c>
      <c r="U811" s="283" t="s">
        <v>2271</v>
      </c>
      <c r="V811" s="790" t="s">
        <v>657</v>
      </c>
      <c r="W811" s="744"/>
      <c r="X811" s="283">
        <v>0.06</v>
      </c>
      <c r="AE811" s="283" t="str">
        <f t="shared" si="105"/>
        <v>|</v>
      </c>
      <c r="AG811" s="374" t="s">
        <v>2259</v>
      </c>
    </row>
    <row r="812" spans="1:33" ht="24" customHeight="1">
      <c r="A812" s="792"/>
      <c r="F812" s="746">
        <v>21.2</v>
      </c>
      <c r="G812" s="283" t="s">
        <v>868</v>
      </c>
      <c r="H812" s="374" t="s">
        <v>1902</v>
      </c>
      <c r="I812" s="283">
        <f>C12</f>
        <v>651</v>
      </c>
      <c r="J812" s="374" t="s">
        <v>868</v>
      </c>
      <c r="K812" s="283">
        <f t="shared" si="113"/>
        <v>13801.2</v>
      </c>
      <c r="N812" s="374"/>
      <c r="O812" s="374"/>
      <c r="W812" s="744"/>
      <c r="X812" s="751">
        <f>SUM(X801:X811)</f>
        <v>8381.17</v>
      </c>
      <c r="Y812" s="283">
        <v>59.4</v>
      </c>
      <c r="Z812" s="283">
        <v>117</v>
      </c>
      <c r="AE812" s="283" t="str">
        <f t="shared" si="105"/>
        <v>|</v>
      </c>
      <c r="AG812" s="374" t="s">
        <v>2259</v>
      </c>
    </row>
    <row r="813" spans="1:33" ht="24" customHeight="1">
      <c r="A813" s="792"/>
      <c r="B813" s="374" t="s">
        <v>3865</v>
      </c>
      <c r="C813" s="283">
        <v>3.15</v>
      </c>
      <c r="F813" s="746">
        <v>35.299999999999997</v>
      </c>
      <c r="G813" s="283" t="s">
        <v>868</v>
      </c>
      <c r="H813" s="374" t="s">
        <v>320</v>
      </c>
      <c r="I813" s="283">
        <f>C13</f>
        <v>534</v>
      </c>
      <c r="J813" s="374" t="s">
        <v>868</v>
      </c>
      <c r="K813" s="283">
        <f t="shared" si="113"/>
        <v>18850.2</v>
      </c>
      <c r="N813" s="374"/>
      <c r="O813" s="374"/>
      <c r="W813" s="744"/>
      <c r="AE813" s="283" t="str">
        <f t="shared" si="105"/>
        <v>|</v>
      </c>
      <c r="AG813" s="374" t="s">
        <v>2259</v>
      </c>
    </row>
    <row r="814" spans="1:33" ht="24" customHeight="1">
      <c r="A814" s="792"/>
      <c r="F814" s="784" t="s">
        <v>449</v>
      </c>
      <c r="H814" s="374" t="s">
        <v>450</v>
      </c>
      <c r="J814" s="374" t="s">
        <v>449</v>
      </c>
      <c r="K814" s="283">
        <v>0</v>
      </c>
      <c r="N814" s="374"/>
      <c r="O814" s="374"/>
      <c r="W814" s="744"/>
      <c r="AE814" s="283" t="str">
        <f t="shared" ref="AE814:AE877" si="114">AG814</f>
        <v>|</v>
      </c>
      <c r="AG814" s="374" t="s">
        <v>2259</v>
      </c>
    </row>
    <row r="815" spans="1:33" ht="24" customHeight="1">
      <c r="A815" s="792"/>
      <c r="B815" s="374" t="s">
        <v>4595</v>
      </c>
      <c r="C815" s="283">
        <v>8.5</v>
      </c>
      <c r="K815" s="748" t="s">
        <v>1586</v>
      </c>
      <c r="N815" s="374"/>
      <c r="O815" s="374"/>
      <c r="U815" s="751" t="s">
        <v>3469</v>
      </c>
      <c r="W815" s="744"/>
      <c r="AE815" s="283" t="str">
        <f t="shared" si="114"/>
        <v>|</v>
      </c>
      <c r="AG815" s="374" t="s">
        <v>2259</v>
      </c>
    </row>
    <row r="816" spans="1:33" ht="24" customHeight="1">
      <c r="A816" s="792"/>
      <c r="B816" s="374" t="s">
        <v>1066</v>
      </c>
      <c r="C816" s="283">
        <v>21.1</v>
      </c>
      <c r="H816" s="744" t="s">
        <v>614</v>
      </c>
      <c r="K816" s="283">
        <f>SUM(K808:K814)</f>
        <v>85506.79</v>
      </c>
      <c r="N816" s="374"/>
      <c r="O816" s="374"/>
      <c r="S816" s="746">
        <v>0.45300000000000001</v>
      </c>
      <c r="T816" s="283" t="s">
        <v>1341</v>
      </c>
      <c r="U816" s="283" t="s">
        <v>3461</v>
      </c>
      <c r="V816" s="283">
        <f>V801</f>
        <v>1582.2</v>
      </c>
      <c r="W816" s="744"/>
      <c r="X816" s="283">
        <f>V816*S816</f>
        <v>716.74</v>
      </c>
      <c r="Z816" s="283">
        <f>X827+Y812</f>
        <v>8364.2199999999993</v>
      </c>
      <c r="AE816" s="283" t="str">
        <f t="shared" si="114"/>
        <v>|</v>
      </c>
      <c r="AG816" s="374" t="s">
        <v>2259</v>
      </c>
    </row>
    <row r="817" spans="1:33" ht="24" customHeight="1">
      <c r="A817" s="792"/>
      <c r="C817" s="283" t="s">
        <v>4258</v>
      </c>
      <c r="K817" s="748" t="s">
        <v>2055</v>
      </c>
      <c r="N817" s="374"/>
      <c r="O817" s="374"/>
      <c r="S817" s="746">
        <v>0.30199999999999999</v>
      </c>
      <c r="T817" s="283" t="s">
        <v>1341</v>
      </c>
      <c r="U817" s="283" t="s">
        <v>3462</v>
      </c>
      <c r="V817" s="283">
        <f t="shared" ref="V817:V826" si="115">V802</f>
        <v>1109.2</v>
      </c>
      <c r="W817" s="744"/>
      <c r="X817" s="283">
        <f t="shared" ref="X817:X823" si="116">V817*S817</f>
        <v>334.98</v>
      </c>
      <c r="Z817" s="283">
        <f>Z816+Z812</f>
        <v>8481.2199999999993</v>
      </c>
      <c r="AE817" s="283" t="str">
        <f t="shared" si="114"/>
        <v>|</v>
      </c>
      <c r="AG817" s="374" t="s">
        <v>2259</v>
      </c>
    </row>
    <row r="818" spans="1:33" ht="24" customHeight="1">
      <c r="A818" s="792"/>
      <c r="H818" s="374" t="s">
        <v>773</v>
      </c>
      <c r="K818" s="283">
        <f>K816/10</f>
        <v>8550.68</v>
      </c>
      <c r="N818" s="374"/>
      <c r="O818" s="374"/>
      <c r="S818" s="746">
        <v>0.44</v>
      </c>
      <c r="T818" s="283" t="s">
        <v>1341</v>
      </c>
      <c r="U818" s="283" t="s">
        <v>1065</v>
      </c>
      <c r="V818" s="283">
        <f t="shared" si="115"/>
        <v>2074.06</v>
      </c>
      <c r="W818" s="744"/>
      <c r="X818" s="283">
        <f t="shared" si="116"/>
        <v>912.59</v>
      </c>
      <c r="Z818" s="283">
        <f>Z817+Z812</f>
        <v>8598.2199999999993</v>
      </c>
      <c r="AE818" s="283" t="str">
        <f t="shared" si="114"/>
        <v>|</v>
      </c>
      <c r="AG818" s="374" t="s">
        <v>2259</v>
      </c>
    </row>
    <row r="819" spans="1:33" ht="24" customHeight="1">
      <c r="A819" s="792"/>
      <c r="S819" s="746">
        <v>0.37</v>
      </c>
      <c r="T819" s="283" t="s">
        <v>528</v>
      </c>
      <c r="U819" s="283" t="s">
        <v>390</v>
      </c>
      <c r="V819" s="283">
        <f t="shared" si="115"/>
        <v>6040</v>
      </c>
      <c r="W819" s="744"/>
      <c r="X819" s="283">
        <f t="shared" si="116"/>
        <v>2234.8000000000002</v>
      </c>
      <c r="Z819" s="283">
        <f>Z818+Z812</f>
        <v>8715.2199999999993</v>
      </c>
      <c r="AE819" s="283" t="str">
        <f t="shared" si="114"/>
        <v>|</v>
      </c>
      <c r="AG819" s="374" t="s">
        <v>2259</v>
      </c>
    </row>
    <row r="820" spans="1:33" ht="24" customHeight="1">
      <c r="A820" s="792"/>
      <c r="F820" s="283">
        <v>1</v>
      </c>
      <c r="G820" s="283" t="s">
        <v>869</v>
      </c>
      <c r="H820" s="374" t="s">
        <v>44</v>
      </c>
      <c r="I820" s="283">
        <f>C25</f>
        <v>94.2</v>
      </c>
      <c r="K820" s="283">
        <f>F820*I820</f>
        <v>94.2</v>
      </c>
      <c r="R820" s="748"/>
      <c r="S820" s="746">
        <v>0.35</v>
      </c>
      <c r="T820" s="283" t="s">
        <v>1432</v>
      </c>
      <c r="U820" s="283" t="s">
        <v>465</v>
      </c>
      <c r="V820" s="283">
        <f t="shared" si="115"/>
        <v>932</v>
      </c>
      <c r="W820" s="744">
        <f>J826</f>
        <v>0</v>
      </c>
      <c r="X820" s="283">
        <f t="shared" si="116"/>
        <v>326.2</v>
      </c>
      <c r="Z820" s="283">
        <f>Z812+Z819</f>
        <v>8832.2199999999993</v>
      </c>
      <c r="AE820" s="283" t="str">
        <f t="shared" si="114"/>
        <v>|</v>
      </c>
      <c r="AG820" s="374" t="s">
        <v>2259</v>
      </c>
    </row>
    <row r="821" spans="1:33" ht="24" customHeight="1">
      <c r="A821" s="792"/>
      <c r="K821" s="748" t="s">
        <v>1586</v>
      </c>
      <c r="O821" s="744"/>
      <c r="S821" s="746">
        <v>2.12</v>
      </c>
      <c r="T821" s="283" t="s">
        <v>1432</v>
      </c>
      <c r="U821" s="283" t="s">
        <v>3463</v>
      </c>
      <c r="V821" s="283">
        <f t="shared" si="115"/>
        <v>651</v>
      </c>
      <c r="W821" s="744"/>
      <c r="X821" s="283">
        <f t="shared" si="116"/>
        <v>1380.12</v>
      </c>
      <c r="Z821" s="283">
        <f>Z812+Z820</f>
        <v>8949.2199999999993</v>
      </c>
      <c r="AE821" s="283" t="str">
        <f t="shared" si="114"/>
        <v>|</v>
      </c>
      <c r="AG821" s="374" t="s">
        <v>2259</v>
      </c>
    </row>
    <row r="822" spans="1:33" ht="24" customHeight="1">
      <c r="K822" s="283">
        <f>SUM(K818:K820)</f>
        <v>8644.8799999999992</v>
      </c>
      <c r="S822" s="746">
        <v>3.53</v>
      </c>
      <c r="T822" s="283" t="s">
        <v>1432</v>
      </c>
      <c r="U822" s="283" t="s">
        <v>3464</v>
      </c>
      <c r="V822" s="283">
        <f t="shared" si="115"/>
        <v>534</v>
      </c>
      <c r="W822" s="744"/>
      <c r="X822" s="283">
        <f t="shared" si="116"/>
        <v>1885.02</v>
      </c>
      <c r="Z822" s="283">
        <f>Z812+Z821</f>
        <v>9066.2199999999993</v>
      </c>
      <c r="AE822" s="283" t="str">
        <f t="shared" si="114"/>
        <v>|</v>
      </c>
      <c r="AG822" s="374" t="s">
        <v>2259</v>
      </c>
    </row>
    <row r="823" spans="1:33" ht="24" customHeight="1">
      <c r="A823" s="792"/>
      <c r="K823" s="748" t="s">
        <v>1586</v>
      </c>
      <c r="R823" s="748"/>
      <c r="S823" s="746">
        <v>1</v>
      </c>
      <c r="T823" s="283" t="s">
        <v>1341</v>
      </c>
      <c r="U823" s="283" t="s">
        <v>3465</v>
      </c>
      <c r="V823" s="283">
        <f t="shared" si="115"/>
        <v>94.2</v>
      </c>
      <c r="W823" s="744"/>
      <c r="X823" s="283">
        <f t="shared" si="116"/>
        <v>94.2</v>
      </c>
      <c r="Z823" s="283">
        <f>Z812+Z822</f>
        <v>9183.2199999999993</v>
      </c>
      <c r="AE823" s="283" t="str">
        <f t="shared" si="114"/>
        <v>|</v>
      </c>
      <c r="AG823" s="374" t="s">
        <v>2259</v>
      </c>
    </row>
    <row r="824" spans="1:33" ht="24" customHeight="1">
      <c r="A824" s="792"/>
      <c r="H824" s="374" t="s">
        <v>386</v>
      </c>
      <c r="K824" s="751">
        <f>(K822+C22)</f>
        <v>8764.73</v>
      </c>
      <c r="S824" s="790" t="s">
        <v>657</v>
      </c>
      <c r="U824" s="283" t="s">
        <v>3466</v>
      </c>
      <c r="V824" s="784" t="str">
        <f t="shared" si="115"/>
        <v>LS</v>
      </c>
      <c r="W824" s="744"/>
      <c r="X824" s="283">
        <v>270</v>
      </c>
      <c r="Z824" s="283">
        <f>Z812+Z823</f>
        <v>9300.2199999999993</v>
      </c>
      <c r="AE824" s="283" t="str">
        <f t="shared" si="114"/>
        <v>|</v>
      </c>
      <c r="AG824" s="374" t="s">
        <v>2259</v>
      </c>
    </row>
    <row r="825" spans="1:33" ht="24" customHeight="1">
      <c r="A825" s="792"/>
      <c r="H825" s="374" t="s">
        <v>388</v>
      </c>
      <c r="K825" s="751">
        <f>(K824+C23)</f>
        <v>9000.83</v>
      </c>
      <c r="N825" s="374"/>
      <c r="O825" s="374"/>
      <c r="S825" s="790" t="s">
        <v>657</v>
      </c>
      <c r="U825" s="283" t="s">
        <v>3467</v>
      </c>
      <c r="V825" s="784" t="str">
        <f t="shared" si="115"/>
        <v>LS</v>
      </c>
      <c r="W825" s="744"/>
      <c r="X825" s="283">
        <v>150</v>
      </c>
      <c r="Z825" s="283">
        <f>Z812+Z824</f>
        <v>9417.2199999999993</v>
      </c>
      <c r="AE825" s="283" t="str">
        <f t="shared" si="114"/>
        <v>|</v>
      </c>
      <c r="AG825" s="374" t="s">
        <v>2259</v>
      </c>
    </row>
    <row r="826" spans="1:33" ht="24" customHeight="1">
      <c r="A826" s="792"/>
      <c r="H826" s="374" t="s">
        <v>2232</v>
      </c>
      <c r="K826" s="751">
        <f>(K825+C24)</f>
        <v>9236.93</v>
      </c>
      <c r="O826" s="374"/>
      <c r="S826" s="790" t="s">
        <v>657</v>
      </c>
      <c r="U826" s="283" t="s">
        <v>2271</v>
      </c>
      <c r="V826" s="784" t="str">
        <f t="shared" si="115"/>
        <v>LS</v>
      </c>
      <c r="W826" s="744"/>
      <c r="X826" s="283">
        <v>0.17</v>
      </c>
      <c r="AE826" s="283" t="str">
        <f t="shared" si="114"/>
        <v>|</v>
      </c>
      <c r="AG826" s="374" t="s">
        <v>2259</v>
      </c>
    </row>
    <row r="827" spans="1:33" ht="24" customHeight="1">
      <c r="A827" s="792"/>
      <c r="H827" s="374" t="s">
        <v>380</v>
      </c>
      <c r="K827" s="751">
        <f>(K826+C24)</f>
        <v>9473.0300000000007</v>
      </c>
      <c r="N827" s="374"/>
      <c r="O827" s="374"/>
      <c r="W827" s="744"/>
      <c r="X827" s="751">
        <f>SUM(X816:X826)</f>
        <v>8304.82</v>
      </c>
      <c r="AE827" s="283" t="str">
        <f t="shared" si="114"/>
        <v>|</v>
      </c>
      <c r="AG827" s="374" t="s">
        <v>2259</v>
      </c>
    </row>
    <row r="828" spans="1:33" ht="24" customHeight="1">
      <c r="H828" s="374" t="s">
        <v>1532</v>
      </c>
      <c r="K828" s="751">
        <f>(K827+C24)</f>
        <v>9709.1299999999992</v>
      </c>
      <c r="O828" s="374"/>
      <c r="W828" s="744"/>
      <c r="AE828" s="283" t="str">
        <f t="shared" si="114"/>
        <v>|</v>
      </c>
      <c r="AG828" s="374" t="s">
        <v>2259</v>
      </c>
    </row>
    <row r="829" spans="1:33" ht="24" customHeight="1">
      <c r="H829" s="374">
        <v>5</v>
      </c>
      <c r="K829" s="751">
        <f>(K828+C24)</f>
        <v>9945.23</v>
      </c>
      <c r="O829" s="374"/>
      <c r="W829" s="744"/>
      <c r="AE829" s="283">
        <f>SUM(AE682:AE686)</f>
        <v>8206.1</v>
      </c>
      <c r="AG829" s="374"/>
    </row>
    <row r="830" spans="1:33" ht="24" customHeight="1">
      <c r="H830" s="374">
        <v>6</v>
      </c>
      <c r="K830" s="751">
        <f>(K829+C24)</f>
        <v>10181.33</v>
      </c>
      <c r="O830" s="374"/>
      <c r="W830" s="744"/>
      <c r="AG830" s="374"/>
    </row>
    <row r="831" spans="1:33" ht="24" customHeight="1">
      <c r="H831" s="374">
        <v>7</v>
      </c>
      <c r="K831" s="751">
        <f>(K830+C24)</f>
        <v>10417.43</v>
      </c>
      <c r="O831" s="374"/>
      <c r="W831" s="744"/>
      <c r="AG831" s="374"/>
    </row>
    <row r="832" spans="1:33" ht="24" customHeight="1">
      <c r="H832" s="374">
        <v>8</v>
      </c>
      <c r="K832" s="751">
        <f>(K831+C24)</f>
        <v>10653.53</v>
      </c>
      <c r="O832" s="374"/>
      <c r="W832" s="744"/>
      <c r="AG832" s="374"/>
    </row>
    <row r="833" spans="6:33" ht="24" customHeight="1">
      <c r="H833" s="374">
        <v>9</v>
      </c>
      <c r="K833" s="751">
        <f>(K832+C24)</f>
        <v>10889.63</v>
      </c>
      <c r="O833" s="374"/>
      <c r="W833" s="744"/>
      <c r="AG833" s="374"/>
    </row>
    <row r="834" spans="6:33" ht="24" customHeight="1">
      <c r="H834" s="374">
        <v>10</v>
      </c>
      <c r="K834" s="751">
        <f>(K833+C24)</f>
        <v>11125.73</v>
      </c>
      <c r="O834" s="374"/>
      <c r="W834" s="744"/>
      <c r="AG834" s="374"/>
    </row>
    <row r="835" spans="6:33" ht="24" customHeight="1">
      <c r="H835" s="374">
        <v>11</v>
      </c>
      <c r="K835" s="751">
        <f>(K834+C24)</f>
        <v>11361.83</v>
      </c>
      <c r="O835" s="374"/>
      <c r="W835" s="744"/>
      <c r="AG835" s="374"/>
    </row>
    <row r="836" spans="6:33" ht="24" customHeight="1">
      <c r="H836" s="374">
        <v>12</v>
      </c>
      <c r="K836" s="751">
        <f>(K835+C24)</f>
        <v>11597.93</v>
      </c>
      <c r="O836" s="374"/>
      <c r="W836" s="744"/>
      <c r="AG836" s="374"/>
    </row>
    <row r="837" spans="6:33" ht="24" customHeight="1">
      <c r="H837" s="374"/>
      <c r="K837" s="751"/>
      <c r="O837" s="374"/>
      <c r="W837" s="744"/>
      <c r="AG837" s="374"/>
    </row>
    <row r="838" spans="6:33" ht="24" customHeight="1">
      <c r="F838" s="374" t="s">
        <v>975</v>
      </c>
      <c r="O838" s="374"/>
      <c r="W838" s="744"/>
      <c r="AE838" s="283" t="str">
        <f t="shared" si="114"/>
        <v>|</v>
      </c>
      <c r="AG838" s="374" t="s">
        <v>2259</v>
      </c>
    </row>
    <row r="839" spans="6:33" ht="24" customHeight="1">
      <c r="F839" s="374" t="s">
        <v>975</v>
      </c>
      <c r="G839" s="283" t="s">
        <v>2251</v>
      </c>
      <c r="H839" s="744" t="s">
        <v>1321</v>
      </c>
      <c r="N839" s="374"/>
      <c r="O839" s="374"/>
      <c r="W839" s="744"/>
      <c r="AE839" s="283" t="str">
        <f t="shared" si="114"/>
        <v>|</v>
      </c>
      <c r="AG839" s="374" t="s">
        <v>2259</v>
      </c>
    </row>
    <row r="840" spans="6:33" ht="24" customHeight="1">
      <c r="H840" s="748" t="s">
        <v>2055</v>
      </c>
      <c r="N840" s="374"/>
      <c r="O840" s="374"/>
      <c r="W840" s="744"/>
      <c r="AE840" s="283" t="str">
        <f t="shared" si="114"/>
        <v>|</v>
      </c>
      <c r="AG840" s="374" t="s">
        <v>2259</v>
      </c>
    </row>
    <row r="841" spans="6:33" ht="24" customHeight="1">
      <c r="N841" s="374"/>
      <c r="O841" s="374"/>
      <c r="W841" s="744"/>
      <c r="AE841" s="283" t="str">
        <f t="shared" si="114"/>
        <v>|</v>
      </c>
      <c r="AG841" s="374" t="s">
        <v>2259</v>
      </c>
    </row>
    <row r="842" spans="6:33" ht="24" customHeight="1">
      <c r="F842" s="744" t="s">
        <v>1323</v>
      </c>
      <c r="G842" s="283" t="s">
        <v>2251</v>
      </c>
      <c r="H842" s="374" t="s">
        <v>2031</v>
      </c>
      <c r="N842" s="374"/>
      <c r="O842" s="374"/>
      <c r="W842" s="744"/>
      <c r="AE842" s="283" t="str">
        <f t="shared" si="114"/>
        <v>|</v>
      </c>
      <c r="AG842" s="374" t="s">
        <v>2259</v>
      </c>
    </row>
    <row r="843" spans="6:33" ht="24" customHeight="1">
      <c r="H843" s="374" t="s">
        <v>2032</v>
      </c>
      <c r="N843" s="374"/>
      <c r="O843" s="374"/>
      <c r="W843" s="744"/>
      <c r="AE843" s="283" t="str">
        <f t="shared" si="114"/>
        <v>|</v>
      </c>
      <c r="AG843" s="374" t="s">
        <v>2259</v>
      </c>
    </row>
    <row r="844" spans="6:33" ht="24" customHeight="1">
      <c r="H844" s="374" t="s">
        <v>2033</v>
      </c>
      <c r="N844" s="374"/>
      <c r="O844" s="374"/>
      <c r="W844" s="744"/>
      <c r="AE844" s="283" t="str">
        <f t="shared" si="114"/>
        <v>|::</v>
      </c>
      <c r="AG844" s="374" t="s">
        <v>321</v>
      </c>
    </row>
    <row r="845" spans="6:33" ht="24" customHeight="1">
      <c r="H845" s="374" t="s">
        <v>891</v>
      </c>
      <c r="N845" s="374"/>
      <c r="O845" s="374"/>
      <c r="W845" s="744"/>
      <c r="AE845" s="283">
        <f t="shared" si="114"/>
        <v>0</v>
      </c>
    </row>
    <row r="846" spans="6:33" ht="24" customHeight="1">
      <c r="H846" s="374" t="s">
        <v>892</v>
      </c>
      <c r="W846" s="744"/>
      <c r="AE846" s="283">
        <f t="shared" si="114"/>
        <v>0</v>
      </c>
    </row>
    <row r="847" spans="6:33" ht="24" customHeight="1">
      <c r="H847" s="374" t="s">
        <v>1721</v>
      </c>
      <c r="R847" s="748"/>
      <c r="W847" s="744"/>
      <c r="AE847" s="283">
        <f t="shared" si="114"/>
        <v>0</v>
      </c>
    </row>
    <row r="848" spans="6:33" ht="24" customHeight="1">
      <c r="H848" s="374" t="s">
        <v>93</v>
      </c>
      <c r="O848" s="744"/>
      <c r="W848" s="744"/>
      <c r="AE848" s="283" t="str">
        <f t="shared" si="114"/>
        <v>|</v>
      </c>
      <c r="AG848" s="374" t="s">
        <v>2259</v>
      </c>
    </row>
    <row r="849" spans="6:33" ht="24" customHeight="1">
      <c r="H849" s="374" t="s">
        <v>94</v>
      </c>
      <c r="R849" s="748"/>
      <c r="W849" s="744"/>
      <c r="AE849" s="283" t="str">
        <f t="shared" si="114"/>
        <v>|</v>
      </c>
      <c r="AG849" s="374" t="s">
        <v>2259</v>
      </c>
    </row>
    <row r="850" spans="6:33" ht="24" customHeight="1">
      <c r="H850" s="374" t="s">
        <v>95</v>
      </c>
      <c r="O850" s="751" t="s">
        <v>4386</v>
      </c>
      <c r="R850" s="748"/>
      <c r="W850" s="744"/>
      <c r="AE850" s="283" t="str">
        <f t="shared" si="114"/>
        <v>|</v>
      </c>
      <c r="AG850" s="374" t="s">
        <v>2259</v>
      </c>
    </row>
    <row r="851" spans="6:33" ht="24" customHeight="1">
      <c r="H851" s="374" t="s">
        <v>96</v>
      </c>
      <c r="O851" s="744" t="s">
        <v>1743</v>
      </c>
      <c r="R851" s="748"/>
      <c r="W851" s="744"/>
      <c r="AE851" s="283" t="str">
        <f t="shared" si="114"/>
        <v>|</v>
      </c>
      <c r="AG851" s="374" t="s">
        <v>2259</v>
      </c>
    </row>
    <row r="852" spans="6:33" ht="24" customHeight="1">
      <c r="H852" s="374" t="s">
        <v>2053</v>
      </c>
      <c r="R852" s="748"/>
      <c r="W852" s="744"/>
      <c r="AE852" s="283" t="str">
        <f t="shared" si="114"/>
        <v>|</v>
      </c>
      <c r="AG852" s="374" t="s">
        <v>2259</v>
      </c>
    </row>
    <row r="853" spans="6:33" ht="24" customHeight="1">
      <c r="H853" s="374" t="s">
        <v>1028</v>
      </c>
      <c r="M853" s="782">
        <v>6.5000000000000002E-2</v>
      </c>
      <c r="N853" s="283" t="s">
        <v>869</v>
      </c>
      <c r="O853" s="374" t="s">
        <v>2073</v>
      </c>
      <c r="P853" s="283">
        <f>I860</f>
        <v>7888.83</v>
      </c>
      <c r="Q853" s="374" t="s">
        <v>869</v>
      </c>
      <c r="R853" s="283">
        <f>P853*M853</f>
        <v>512.77</v>
      </c>
      <c r="W853" s="744"/>
      <c r="AE853" s="283" t="str">
        <f t="shared" si="114"/>
        <v>|</v>
      </c>
      <c r="AG853" s="374" t="s">
        <v>2259</v>
      </c>
    </row>
    <row r="854" spans="6:33" ht="24" customHeight="1">
      <c r="H854" s="374" t="s">
        <v>1778</v>
      </c>
      <c r="M854" s="793">
        <v>8.4499999999999993</v>
      </c>
      <c r="N854" s="283" t="s">
        <v>1645</v>
      </c>
      <c r="O854" s="374" t="s">
        <v>2074</v>
      </c>
      <c r="P854" s="283">
        <f t="shared" ref="P854:P863" si="117">I861</f>
        <v>88873.5</v>
      </c>
      <c r="Q854" s="374" t="s">
        <v>861</v>
      </c>
      <c r="R854" s="283">
        <f>P854*M854/1000</f>
        <v>750.98</v>
      </c>
      <c r="W854" s="744"/>
      <c r="AE854" s="283" t="str">
        <f t="shared" si="114"/>
        <v>|</v>
      </c>
      <c r="AG854" s="374" t="s">
        <v>2259</v>
      </c>
    </row>
    <row r="855" spans="6:33" ht="24" customHeight="1">
      <c r="H855" s="374" t="s">
        <v>1779</v>
      </c>
      <c r="M855" s="283">
        <v>3</v>
      </c>
      <c r="N855" s="283" t="s">
        <v>868</v>
      </c>
      <c r="O855" s="374" t="s">
        <v>1186</v>
      </c>
      <c r="P855" s="283">
        <f t="shared" si="117"/>
        <v>14.8</v>
      </c>
      <c r="Q855" s="374" t="s">
        <v>868</v>
      </c>
      <c r="R855" s="283">
        <f t="shared" ref="R855:R862" si="118">P855*M855</f>
        <v>44.4</v>
      </c>
      <c r="W855" s="744"/>
      <c r="AE855" s="283" t="str">
        <f t="shared" si="114"/>
        <v>|</v>
      </c>
      <c r="AG855" s="374" t="s">
        <v>2259</v>
      </c>
    </row>
    <row r="856" spans="6:33" ht="24" customHeight="1">
      <c r="M856" s="283">
        <v>12</v>
      </c>
      <c r="N856" s="283" t="s">
        <v>868</v>
      </c>
      <c r="O856" s="374" t="s">
        <v>1187</v>
      </c>
      <c r="P856" s="283">
        <f t="shared" si="117"/>
        <v>2</v>
      </c>
      <c r="Q856" s="374" t="s">
        <v>868</v>
      </c>
      <c r="R856" s="283">
        <f t="shared" si="118"/>
        <v>24</v>
      </c>
      <c r="W856" s="744"/>
      <c r="AE856" s="283" t="str">
        <f t="shared" si="114"/>
        <v>|</v>
      </c>
      <c r="AG856" s="374" t="s">
        <v>2259</v>
      </c>
    </row>
    <row r="857" spans="6:33" ht="24" customHeight="1">
      <c r="M857" s="283">
        <v>2</v>
      </c>
      <c r="N857" s="283" t="s">
        <v>868</v>
      </c>
      <c r="O857" s="374" t="s">
        <v>1188</v>
      </c>
      <c r="P857" s="283">
        <f t="shared" si="117"/>
        <v>4.9000000000000004</v>
      </c>
      <c r="Q857" s="374" t="s">
        <v>868</v>
      </c>
      <c r="R857" s="283">
        <f t="shared" si="118"/>
        <v>9.8000000000000007</v>
      </c>
      <c r="W857" s="744"/>
      <c r="AE857" s="283" t="str">
        <f t="shared" si="114"/>
        <v>|</v>
      </c>
      <c r="AG857" s="374" t="s">
        <v>2259</v>
      </c>
    </row>
    <row r="858" spans="6:33" ht="24" customHeight="1">
      <c r="G858" s="283" t="s">
        <v>316</v>
      </c>
      <c r="H858" s="744" t="s">
        <v>1776</v>
      </c>
      <c r="M858" s="283">
        <v>6</v>
      </c>
      <c r="N858" s="283" t="s">
        <v>868</v>
      </c>
      <c r="O858" s="374" t="s">
        <v>2220</v>
      </c>
      <c r="P858" s="283">
        <f t="shared" si="117"/>
        <v>4.45</v>
      </c>
      <c r="Q858" s="374" t="s">
        <v>868</v>
      </c>
      <c r="R858" s="283">
        <f t="shared" si="118"/>
        <v>26.7</v>
      </c>
      <c r="S858" s="283"/>
      <c r="T858" s="283" t="s">
        <v>316</v>
      </c>
      <c r="U858" s="744" t="s">
        <v>3757</v>
      </c>
      <c r="W858" s="744"/>
      <c r="AE858" s="283" t="str">
        <f t="shared" si="114"/>
        <v>|</v>
      </c>
      <c r="AG858" s="374" t="s">
        <v>2259</v>
      </c>
    </row>
    <row r="859" spans="6:33" ht="24" customHeight="1">
      <c r="H859" s="744" t="s">
        <v>1781</v>
      </c>
      <c r="M859" s="283">
        <v>1</v>
      </c>
      <c r="N859" s="283" t="s">
        <v>868</v>
      </c>
      <c r="O859" s="374" t="s">
        <v>1193</v>
      </c>
      <c r="P859" s="283">
        <f t="shared" si="117"/>
        <v>999</v>
      </c>
      <c r="Q859" s="374" t="s">
        <v>868</v>
      </c>
      <c r="R859" s="283">
        <f t="shared" si="118"/>
        <v>999</v>
      </c>
      <c r="S859" s="283"/>
      <c r="U859" s="744" t="s">
        <v>1781</v>
      </c>
      <c r="W859" s="744"/>
      <c r="AE859" s="283" t="str">
        <f t="shared" si="114"/>
        <v>|</v>
      </c>
      <c r="AG859" s="374" t="s">
        <v>2259</v>
      </c>
    </row>
    <row r="860" spans="6:33" ht="24" customHeight="1">
      <c r="F860" s="782">
        <v>3.8100000000000002E-2</v>
      </c>
      <c r="G860" s="283" t="s">
        <v>869</v>
      </c>
      <c r="H860" s="374" t="s">
        <v>6024</v>
      </c>
      <c r="I860" s="283">
        <f>I878</f>
        <v>7888.83</v>
      </c>
      <c r="J860" s="374" t="s">
        <v>869</v>
      </c>
      <c r="K860" s="283">
        <f>F860*I860</f>
        <v>300.56</v>
      </c>
      <c r="M860" s="283">
        <v>1</v>
      </c>
      <c r="N860" s="283" t="s">
        <v>868</v>
      </c>
      <c r="O860" s="374" t="s">
        <v>1194</v>
      </c>
      <c r="P860" s="283">
        <f t="shared" si="117"/>
        <v>651</v>
      </c>
      <c r="Q860" s="374" t="s">
        <v>868</v>
      </c>
      <c r="R860" s="283">
        <f t="shared" si="118"/>
        <v>651</v>
      </c>
      <c r="S860" s="782">
        <v>4.9500000000000002E-2</v>
      </c>
      <c r="T860" s="283" t="s">
        <v>869</v>
      </c>
      <c r="U860" s="374" t="s">
        <v>2073</v>
      </c>
      <c r="V860" s="283">
        <f>I860</f>
        <v>7888.83</v>
      </c>
      <c r="W860" s="744" t="s">
        <v>869</v>
      </c>
      <c r="X860" s="283">
        <f>S860*V860</f>
        <v>390.5</v>
      </c>
      <c r="AE860" s="283" t="str">
        <f t="shared" si="114"/>
        <v>|</v>
      </c>
      <c r="AG860" s="374" t="s">
        <v>2259</v>
      </c>
    </row>
    <row r="861" spans="6:33" ht="24" customHeight="1">
      <c r="F861" s="785">
        <v>5.01</v>
      </c>
      <c r="G861" s="283" t="s">
        <v>1645</v>
      </c>
      <c r="H861" s="374" t="s">
        <v>2074</v>
      </c>
      <c r="I861" s="283">
        <f>I879</f>
        <v>88873.5</v>
      </c>
      <c r="J861" s="374" t="s">
        <v>861</v>
      </c>
      <c r="K861" s="283">
        <f>F861*I861/1000</f>
        <v>445.26</v>
      </c>
      <c r="M861" s="283">
        <v>1</v>
      </c>
      <c r="N861" s="283" t="s">
        <v>868</v>
      </c>
      <c r="O861" s="374" t="s">
        <v>1195</v>
      </c>
      <c r="P861" s="283">
        <f t="shared" si="117"/>
        <v>25</v>
      </c>
      <c r="Q861" s="374" t="s">
        <v>868</v>
      </c>
      <c r="R861" s="283">
        <f t="shared" si="118"/>
        <v>25</v>
      </c>
      <c r="S861" s="785">
        <v>5.66</v>
      </c>
      <c r="T861" s="283" t="s">
        <v>1645</v>
      </c>
      <c r="U861" s="374" t="s">
        <v>2074</v>
      </c>
      <c r="V861" s="283">
        <f t="shared" ref="V861:V869" si="119">I861</f>
        <v>88873.5</v>
      </c>
      <c r="W861" s="744" t="s">
        <v>861</v>
      </c>
      <c r="X861" s="283">
        <f>S861*V861/1000</f>
        <v>503.02</v>
      </c>
      <c r="AE861" s="283" t="str">
        <f t="shared" si="114"/>
        <v>|</v>
      </c>
      <c r="AG861" s="374" t="s">
        <v>2259</v>
      </c>
    </row>
    <row r="862" spans="6:33" ht="24" customHeight="1">
      <c r="F862" s="283">
        <v>3</v>
      </c>
      <c r="G862" s="283" t="s">
        <v>868</v>
      </c>
      <c r="H862" s="374" t="s">
        <v>1186</v>
      </c>
      <c r="I862" s="283">
        <v>14.8</v>
      </c>
      <c r="J862" s="374" t="s">
        <v>868</v>
      </c>
      <c r="K862" s="283">
        <f t="shared" ref="K862:K869" si="120">F862*I862</f>
        <v>44.4</v>
      </c>
      <c r="M862" s="283">
        <v>0.5</v>
      </c>
      <c r="N862" s="283" t="s">
        <v>868</v>
      </c>
      <c r="O862" s="374" t="s">
        <v>1196</v>
      </c>
      <c r="P862" s="283">
        <f t="shared" si="117"/>
        <v>534</v>
      </c>
      <c r="Q862" s="374" t="s">
        <v>868</v>
      </c>
      <c r="R862" s="283">
        <f t="shared" si="118"/>
        <v>267</v>
      </c>
      <c r="S862" s="283">
        <v>3</v>
      </c>
      <c r="T862" s="283" t="s">
        <v>868</v>
      </c>
      <c r="U862" s="374" t="s">
        <v>1186</v>
      </c>
      <c r="V862" s="283">
        <f t="shared" si="119"/>
        <v>14.8</v>
      </c>
      <c r="W862" s="744" t="s">
        <v>868</v>
      </c>
      <c r="X862" s="283">
        <f t="shared" ref="X862:X869" si="121">S862*V862</f>
        <v>44.4</v>
      </c>
      <c r="AE862" s="283" t="str">
        <f t="shared" si="114"/>
        <v>|</v>
      </c>
      <c r="AG862" s="374" t="s">
        <v>2259</v>
      </c>
    </row>
    <row r="863" spans="6:33" ht="24" customHeight="1">
      <c r="F863" s="283">
        <v>12</v>
      </c>
      <c r="G863" s="283" t="s">
        <v>868</v>
      </c>
      <c r="H863" s="374" t="s">
        <v>1187</v>
      </c>
      <c r="I863" s="283">
        <v>2</v>
      </c>
      <c r="J863" s="374" t="s">
        <v>868</v>
      </c>
      <c r="K863" s="283">
        <f t="shared" si="120"/>
        <v>24</v>
      </c>
      <c r="N863" s="283" t="s">
        <v>449</v>
      </c>
      <c r="O863" s="374" t="s">
        <v>2139</v>
      </c>
      <c r="P863" s="283">
        <f t="shared" si="117"/>
        <v>0</v>
      </c>
      <c r="Q863" s="374" t="s">
        <v>449</v>
      </c>
      <c r="R863" s="283">
        <v>2.1</v>
      </c>
      <c r="S863" s="283">
        <v>12</v>
      </c>
      <c r="T863" s="283" t="s">
        <v>868</v>
      </c>
      <c r="U863" s="374" t="s">
        <v>1187</v>
      </c>
      <c r="V863" s="283">
        <f t="shared" si="119"/>
        <v>2</v>
      </c>
      <c r="W863" s="744" t="s">
        <v>868</v>
      </c>
      <c r="X863" s="283">
        <f t="shared" si="121"/>
        <v>24</v>
      </c>
      <c r="AE863" s="283" t="str">
        <f t="shared" si="114"/>
        <v>|</v>
      </c>
      <c r="AG863" s="374" t="s">
        <v>2259</v>
      </c>
    </row>
    <row r="864" spans="6:33" ht="24" customHeight="1">
      <c r="F864" s="283">
        <v>2</v>
      </c>
      <c r="G864" s="283" t="s">
        <v>868</v>
      </c>
      <c r="H864" s="374" t="s">
        <v>1188</v>
      </c>
      <c r="I864" s="283">
        <v>4.9000000000000004</v>
      </c>
      <c r="J864" s="374" t="s">
        <v>868</v>
      </c>
      <c r="K864" s="283">
        <f t="shared" si="120"/>
        <v>9.8000000000000007</v>
      </c>
      <c r="Q864" s="374"/>
      <c r="R864" s="748" t="s">
        <v>1586</v>
      </c>
      <c r="S864" s="283">
        <v>2</v>
      </c>
      <c r="T864" s="283" t="s">
        <v>868</v>
      </c>
      <c r="U864" s="374" t="s">
        <v>1188</v>
      </c>
      <c r="V864" s="283">
        <f t="shared" si="119"/>
        <v>4.9000000000000004</v>
      </c>
      <c r="W864" s="744" t="s">
        <v>868</v>
      </c>
      <c r="X864" s="283">
        <f t="shared" si="121"/>
        <v>9.8000000000000007</v>
      </c>
      <c r="AE864" s="283" t="str">
        <f t="shared" si="114"/>
        <v>|</v>
      </c>
      <c r="AG864" s="374" t="s">
        <v>2259</v>
      </c>
    </row>
    <row r="865" spans="2:33" ht="24" customHeight="1">
      <c r="F865" s="283">
        <v>6</v>
      </c>
      <c r="G865" s="283" t="s">
        <v>868</v>
      </c>
      <c r="H865" s="374" t="s">
        <v>2220</v>
      </c>
      <c r="I865" s="283">
        <v>4.45</v>
      </c>
      <c r="J865" s="374" t="s">
        <v>868</v>
      </c>
      <c r="K865" s="283">
        <f t="shared" si="120"/>
        <v>26.7</v>
      </c>
      <c r="O865" s="757" t="s">
        <v>283</v>
      </c>
      <c r="Q865" s="374"/>
      <c r="R865" s="751">
        <f>SUM(R853:R863)</f>
        <v>3312.75</v>
      </c>
      <c r="S865" s="283">
        <v>6</v>
      </c>
      <c r="T865" s="283" t="s">
        <v>868</v>
      </c>
      <c r="U865" s="374" t="s">
        <v>2220</v>
      </c>
      <c r="V865" s="283">
        <f t="shared" si="119"/>
        <v>4.45</v>
      </c>
      <c r="W865" s="744" t="s">
        <v>868</v>
      </c>
      <c r="X865" s="283">
        <f t="shared" si="121"/>
        <v>26.7</v>
      </c>
      <c r="AE865" s="283" t="str">
        <f t="shared" si="114"/>
        <v>|</v>
      </c>
      <c r="AG865" s="374" t="s">
        <v>2259</v>
      </c>
    </row>
    <row r="866" spans="2:33" ht="24" customHeight="1">
      <c r="F866" s="283">
        <v>1</v>
      </c>
      <c r="G866" s="283" t="s">
        <v>868</v>
      </c>
      <c r="H866" s="374" t="s">
        <v>1193</v>
      </c>
      <c r="I866" s="283">
        <f>C10</f>
        <v>999</v>
      </c>
      <c r="J866" s="374" t="s">
        <v>868</v>
      </c>
      <c r="K866" s="283">
        <f t="shared" si="120"/>
        <v>999</v>
      </c>
      <c r="Q866" s="374"/>
      <c r="R866" s="748" t="s">
        <v>1586</v>
      </c>
      <c r="S866" s="283">
        <v>1</v>
      </c>
      <c r="T866" s="283" t="s">
        <v>868</v>
      </c>
      <c r="U866" s="374" t="s">
        <v>1193</v>
      </c>
      <c r="V866" s="283">
        <f t="shared" si="119"/>
        <v>999</v>
      </c>
      <c r="W866" s="744" t="s">
        <v>868</v>
      </c>
      <c r="X866" s="283">
        <f t="shared" si="121"/>
        <v>999</v>
      </c>
      <c r="AE866" s="283">
        <f t="shared" si="114"/>
        <v>0</v>
      </c>
      <c r="AG866" s="374"/>
    </row>
    <row r="867" spans="2:33" ht="24" customHeight="1">
      <c r="F867" s="283">
        <v>1</v>
      </c>
      <c r="G867" s="283" t="s">
        <v>868</v>
      </c>
      <c r="H867" s="374" t="s">
        <v>1194</v>
      </c>
      <c r="I867" s="283">
        <f>C12</f>
        <v>651</v>
      </c>
      <c r="J867" s="374" t="s">
        <v>868</v>
      </c>
      <c r="K867" s="283">
        <f t="shared" si="120"/>
        <v>651</v>
      </c>
      <c r="S867" s="283">
        <v>1</v>
      </c>
      <c r="T867" s="283" t="s">
        <v>868</v>
      </c>
      <c r="U867" s="374" t="s">
        <v>1194</v>
      </c>
      <c r="V867" s="283">
        <f t="shared" si="119"/>
        <v>651</v>
      </c>
      <c r="W867" s="744" t="s">
        <v>868</v>
      </c>
      <c r="X867" s="283">
        <f t="shared" si="121"/>
        <v>651</v>
      </c>
      <c r="AE867" s="283">
        <f t="shared" si="114"/>
        <v>0</v>
      </c>
      <c r="AG867" s="374"/>
    </row>
    <row r="868" spans="2:33" ht="24" customHeight="1">
      <c r="F868" s="283">
        <v>1</v>
      </c>
      <c r="G868" s="283" t="s">
        <v>868</v>
      </c>
      <c r="H868" s="374" t="s">
        <v>1195</v>
      </c>
      <c r="I868" s="283">
        <v>25</v>
      </c>
      <c r="J868" s="374" t="s">
        <v>868</v>
      </c>
      <c r="K868" s="283">
        <f t="shared" si="120"/>
        <v>25</v>
      </c>
      <c r="R868" s="748"/>
      <c r="S868" s="283">
        <v>1</v>
      </c>
      <c r="T868" s="283" t="s">
        <v>868</v>
      </c>
      <c r="U868" s="374" t="s">
        <v>1195</v>
      </c>
      <c r="V868" s="283">
        <f t="shared" si="119"/>
        <v>25</v>
      </c>
      <c r="W868" s="744" t="s">
        <v>868</v>
      </c>
      <c r="X868" s="283">
        <f t="shared" si="121"/>
        <v>25</v>
      </c>
      <c r="AE868" s="283">
        <f t="shared" si="114"/>
        <v>0</v>
      </c>
      <c r="AG868" s="374"/>
    </row>
    <row r="869" spans="2:33" ht="24" customHeight="1">
      <c r="F869" s="283">
        <v>0.5</v>
      </c>
      <c r="G869" s="283" t="s">
        <v>868</v>
      </c>
      <c r="H869" s="374" t="s">
        <v>1196</v>
      </c>
      <c r="I869" s="283">
        <f>C13</f>
        <v>534</v>
      </c>
      <c r="J869" s="374" t="s">
        <v>868</v>
      </c>
      <c r="K869" s="283">
        <f t="shared" si="120"/>
        <v>267</v>
      </c>
      <c r="R869" s="374" t="s">
        <v>975</v>
      </c>
      <c r="S869" s="283">
        <v>0.5</v>
      </c>
      <c r="T869" s="283" t="s">
        <v>868</v>
      </c>
      <c r="U869" s="374" t="s">
        <v>1196</v>
      </c>
      <c r="V869" s="283">
        <f t="shared" si="119"/>
        <v>534</v>
      </c>
      <c r="W869" s="744" t="s">
        <v>868</v>
      </c>
      <c r="X869" s="283">
        <f t="shared" si="121"/>
        <v>267</v>
      </c>
      <c r="AE869" s="283">
        <f t="shared" si="114"/>
        <v>0</v>
      </c>
      <c r="AG869" s="374"/>
    </row>
    <row r="870" spans="2:33" ht="24" customHeight="1">
      <c r="G870" s="283" t="s">
        <v>449</v>
      </c>
      <c r="H870" s="374" t="s">
        <v>2139</v>
      </c>
      <c r="J870" s="374" t="s">
        <v>449</v>
      </c>
      <c r="K870" s="283">
        <v>1.1299999999999999</v>
      </c>
      <c r="N870" s="374"/>
      <c r="O870" s="374"/>
      <c r="S870" s="283"/>
      <c r="T870" s="283" t="s">
        <v>449</v>
      </c>
      <c r="U870" s="374" t="s">
        <v>2139</v>
      </c>
      <c r="W870" s="744" t="s">
        <v>449</v>
      </c>
      <c r="X870" s="283">
        <v>0.06</v>
      </c>
      <c r="AE870" s="283">
        <f t="shared" si="114"/>
        <v>0</v>
      </c>
      <c r="AG870" s="374"/>
    </row>
    <row r="871" spans="2:33" ht="24" customHeight="1">
      <c r="K871" s="748" t="s">
        <v>1586</v>
      </c>
      <c r="O871" s="374"/>
      <c r="S871" s="283"/>
      <c r="W871" s="744"/>
      <c r="X871" s="748" t="s">
        <v>1586</v>
      </c>
      <c r="AE871" s="283">
        <f t="shared" si="114"/>
        <v>0</v>
      </c>
      <c r="AG871" s="374"/>
    </row>
    <row r="872" spans="2:33" ht="24" customHeight="1">
      <c r="H872" s="757" t="s">
        <v>283</v>
      </c>
      <c r="K872" s="751">
        <f>SUM(K860:K870)</f>
        <v>2793.85</v>
      </c>
      <c r="N872" s="374"/>
      <c r="O872" s="374"/>
      <c r="S872" s="283"/>
      <c r="U872" s="757" t="s">
        <v>283</v>
      </c>
      <c r="W872" s="744"/>
      <c r="X872" s="751">
        <f>SUM(X860:X870)</f>
        <v>2940.48</v>
      </c>
      <c r="AE872" s="283">
        <f t="shared" si="114"/>
        <v>0</v>
      </c>
      <c r="AG872" s="374"/>
    </row>
    <row r="873" spans="2:33" ht="24" customHeight="1">
      <c r="K873" s="748" t="s">
        <v>1586</v>
      </c>
      <c r="O873" s="374"/>
      <c r="W873" s="744"/>
      <c r="AE873" s="283">
        <f t="shared" si="114"/>
        <v>0</v>
      </c>
      <c r="AG873" s="374"/>
    </row>
    <row r="874" spans="2:33" ht="24" customHeight="1">
      <c r="O874" s="374"/>
      <c r="W874" s="744"/>
      <c r="AE874" s="283">
        <f t="shared" si="114"/>
        <v>0</v>
      </c>
      <c r="AG874" s="374"/>
    </row>
    <row r="875" spans="2:33" ht="24" customHeight="1">
      <c r="N875" s="374"/>
      <c r="O875" s="374"/>
      <c r="W875" s="744"/>
      <c r="AE875" s="283">
        <f t="shared" si="114"/>
        <v>0</v>
      </c>
      <c r="AG875" s="374"/>
    </row>
    <row r="876" spans="2:33" ht="24" customHeight="1">
      <c r="G876" s="283" t="s">
        <v>1907</v>
      </c>
      <c r="H876" s="744" t="s">
        <v>1780</v>
      </c>
      <c r="N876" s="374"/>
      <c r="O876" s="374"/>
      <c r="S876" s="283"/>
      <c r="T876" s="283" t="s">
        <v>316</v>
      </c>
      <c r="U876" s="744" t="s">
        <v>3758</v>
      </c>
      <c r="W876" s="744"/>
      <c r="AE876" s="283">
        <f t="shared" si="114"/>
        <v>0</v>
      </c>
      <c r="AG876" s="374"/>
    </row>
    <row r="877" spans="2:33" ht="24" customHeight="1">
      <c r="H877" s="744" t="s">
        <v>1781</v>
      </c>
      <c r="N877" s="374"/>
      <c r="O877" s="374"/>
      <c r="S877" s="283"/>
      <c r="U877" s="744" t="s">
        <v>1781</v>
      </c>
      <c r="W877" s="744"/>
      <c r="AE877" s="283">
        <f t="shared" si="114"/>
        <v>0</v>
      </c>
      <c r="AG877" s="374"/>
    </row>
    <row r="878" spans="2:33" ht="64.5" customHeight="1">
      <c r="B878" s="777" t="s">
        <v>6098</v>
      </c>
      <c r="C878" s="283">
        <f>Y689</f>
        <v>8433.1</v>
      </c>
      <c r="F878" s="782">
        <v>3.6799999999999999E-2</v>
      </c>
      <c r="G878" s="283" t="s">
        <v>869</v>
      </c>
      <c r="H878" s="777" t="s">
        <v>6098</v>
      </c>
      <c r="I878" s="283">
        <f>Z719</f>
        <v>7888.83</v>
      </c>
      <c r="J878" s="374" t="s">
        <v>869</v>
      </c>
      <c r="K878" s="283">
        <f>F878*I878</f>
        <v>290.31</v>
      </c>
      <c r="N878" s="374"/>
      <c r="O878" s="374"/>
      <c r="S878" s="782">
        <v>5.4699999999999999E-2</v>
      </c>
      <c r="T878" s="283" t="s">
        <v>869</v>
      </c>
      <c r="U878" s="374" t="s">
        <v>2073</v>
      </c>
      <c r="V878" s="283">
        <f>I878</f>
        <v>7888.83</v>
      </c>
      <c r="W878" s="744" t="s">
        <v>869</v>
      </c>
      <c r="X878" s="283">
        <f>S878*V878</f>
        <v>431.52</v>
      </c>
      <c r="AE878" s="283">
        <f t="shared" ref="AE878:AE950" si="122">AG878</f>
        <v>0</v>
      </c>
      <c r="AG878" s="374"/>
    </row>
    <row r="879" spans="2:33" ht="34.5" customHeight="1">
      <c r="B879" s="374" t="s">
        <v>2074</v>
      </c>
      <c r="C879" s="283">
        <f>R1610</f>
        <v>89024.3</v>
      </c>
      <c r="F879" s="283">
        <v>4.87</v>
      </c>
      <c r="G879" s="283" t="s">
        <v>1645</v>
      </c>
      <c r="H879" s="374" t="s">
        <v>2074</v>
      </c>
      <c r="I879" s="283">
        <f>K1609</f>
        <v>88873.5</v>
      </c>
      <c r="J879" s="374" t="s">
        <v>861</v>
      </c>
      <c r="K879" s="283">
        <f>F879*I879/1000</f>
        <v>432.81</v>
      </c>
      <c r="N879" s="374"/>
      <c r="O879" s="374"/>
      <c r="S879" s="785">
        <v>6.16</v>
      </c>
      <c r="T879" s="283" t="s">
        <v>1645</v>
      </c>
      <c r="U879" s="374" t="s">
        <v>2074</v>
      </c>
      <c r="V879" s="283">
        <f t="shared" ref="V879:V887" si="123">I879</f>
        <v>88873.5</v>
      </c>
      <c r="W879" s="744" t="s">
        <v>861</v>
      </c>
      <c r="X879" s="283">
        <f>S879*V879/1000</f>
        <v>547.46</v>
      </c>
      <c r="AE879" s="283">
        <f t="shared" si="122"/>
        <v>0</v>
      </c>
      <c r="AG879" s="374"/>
    </row>
    <row r="880" spans="2:33" ht="24" customHeight="1">
      <c r="F880" s="283">
        <v>3</v>
      </c>
      <c r="G880" s="283" t="s">
        <v>868</v>
      </c>
      <c r="H880" s="374" t="s">
        <v>1186</v>
      </c>
      <c r="I880" s="283">
        <f>I862</f>
        <v>14.8</v>
      </c>
      <c r="J880" s="374" t="s">
        <v>868</v>
      </c>
      <c r="K880" s="283">
        <f t="shared" ref="K880:K887" si="124">F880*I880</f>
        <v>44.4</v>
      </c>
      <c r="N880" s="374"/>
      <c r="O880" s="374"/>
      <c r="S880" s="283">
        <v>3</v>
      </c>
      <c r="T880" s="283" t="s">
        <v>868</v>
      </c>
      <c r="U880" s="374" t="s">
        <v>1186</v>
      </c>
      <c r="V880" s="283">
        <f t="shared" si="123"/>
        <v>14.8</v>
      </c>
      <c r="W880" s="744" t="s">
        <v>868</v>
      </c>
      <c r="X880" s="283">
        <f t="shared" ref="X880:X887" si="125">S880*V880</f>
        <v>44.4</v>
      </c>
      <c r="AE880" s="283">
        <f t="shared" si="122"/>
        <v>0</v>
      </c>
      <c r="AG880" s="374"/>
    </row>
    <row r="881" spans="6:33" ht="24" customHeight="1">
      <c r="F881" s="283">
        <v>12</v>
      </c>
      <c r="G881" s="283" t="s">
        <v>868</v>
      </c>
      <c r="H881" s="374" t="s">
        <v>1187</v>
      </c>
      <c r="I881" s="283">
        <f>I863</f>
        <v>2</v>
      </c>
      <c r="J881" s="374" t="s">
        <v>868</v>
      </c>
      <c r="K881" s="283">
        <f t="shared" si="124"/>
        <v>24</v>
      </c>
      <c r="N881" s="374"/>
      <c r="O881" s="374"/>
      <c r="S881" s="283">
        <v>12</v>
      </c>
      <c r="T881" s="283" t="s">
        <v>868</v>
      </c>
      <c r="U881" s="374" t="s">
        <v>1187</v>
      </c>
      <c r="V881" s="283">
        <f t="shared" si="123"/>
        <v>2</v>
      </c>
      <c r="W881" s="744" t="s">
        <v>868</v>
      </c>
      <c r="X881" s="283">
        <f t="shared" si="125"/>
        <v>24</v>
      </c>
      <c r="AE881" s="283">
        <f t="shared" si="122"/>
        <v>0</v>
      </c>
      <c r="AG881" s="374"/>
    </row>
    <row r="882" spans="6:33" ht="24" customHeight="1">
      <c r="F882" s="283">
        <v>2</v>
      </c>
      <c r="G882" s="283" t="s">
        <v>868</v>
      </c>
      <c r="H882" s="374" t="s">
        <v>1188</v>
      </c>
      <c r="I882" s="283">
        <f>I864</f>
        <v>4.9000000000000004</v>
      </c>
      <c r="J882" s="374" t="s">
        <v>868</v>
      </c>
      <c r="K882" s="283">
        <f t="shared" si="124"/>
        <v>9.8000000000000007</v>
      </c>
      <c r="S882" s="283">
        <v>2</v>
      </c>
      <c r="T882" s="283" t="s">
        <v>868</v>
      </c>
      <c r="U882" s="374" t="s">
        <v>1188</v>
      </c>
      <c r="V882" s="283">
        <f t="shared" si="123"/>
        <v>4.9000000000000004</v>
      </c>
      <c r="W882" s="744" t="s">
        <v>868</v>
      </c>
      <c r="X882" s="283">
        <f t="shared" si="125"/>
        <v>9.8000000000000007</v>
      </c>
      <c r="AE882" s="283">
        <f t="shared" si="122"/>
        <v>0</v>
      </c>
      <c r="AG882" s="374"/>
    </row>
    <row r="883" spans="6:33" ht="24" customHeight="1">
      <c r="F883" s="283">
        <v>6</v>
      </c>
      <c r="G883" s="283" t="s">
        <v>868</v>
      </c>
      <c r="H883" s="374" t="s">
        <v>2220</v>
      </c>
      <c r="I883" s="283">
        <f>I865</f>
        <v>4.45</v>
      </c>
      <c r="J883" s="374" t="s">
        <v>868</v>
      </c>
      <c r="K883" s="283">
        <f t="shared" si="124"/>
        <v>26.7</v>
      </c>
      <c r="R883" s="748"/>
      <c r="S883" s="283">
        <v>6</v>
      </c>
      <c r="T883" s="283" t="s">
        <v>868</v>
      </c>
      <c r="U883" s="374" t="s">
        <v>2220</v>
      </c>
      <c r="V883" s="283">
        <f t="shared" si="123"/>
        <v>4.45</v>
      </c>
      <c r="W883" s="744" t="s">
        <v>868</v>
      </c>
      <c r="X883" s="283">
        <f t="shared" si="125"/>
        <v>26.7</v>
      </c>
      <c r="AE883" s="283">
        <f t="shared" si="122"/>
        <v>0</v>
      </c>
      <c r="AG883" s="374"/>
    </row>
    <row r="884" spans="6:33" ht="24" customHeight="1">
      <c r="F884" s="283">
        <v>1</v>
      </c>
      <c r="G884" s="283" t="s">
        <v>868</v>
      </c>
      <c r="H884" s="374" t="s">
        <v>1193</v>
      </c>
      <c r="I884" s="283">
        <f>C10</f>
        <v>999</v>
      </c>
      <c r="J884" s="374" t="s">
        <v>868</v>
      </c>
      <c r="K884" s="283">
        <f t="shared" si="124"/>
        <v>999</v>
      </c>
      <c r="O884" s="744"/>
      <c r="S884" s="283">
        <v>1</v>
      </c>
      <c r="T884" s="283" t="s">
        <v>868</v>
      </c>
      <c r="U884" s="374" t="s">
        <v>1193</v>
      </c>
      <c r="V884" s="283">
        <f t="shared" si="123"/>
        <v>999</v>
      </c>
      <c r="W884" s="744" t="s">
        <v>868</v>
      </c>
      <c r="X884" s="283">
        <f t="shared" si="125"/>
        <v>999</v>
      </c>
      <c r="AE884" s="283">
        <f t="shared" si="122"/>
        <v>0</v>
      </c>
      <c r="AG884" s="374"/>
    </row>
    <row r="885" spans="6:33" ht="24" customHeight="1">
      <c r="F885" s="283">
        <v>1</v>
      </c>
      <c r="G885" s="283" t="s">
        <v>868</v>
      </c>
      <c r="H885" s="374" t="s">
        <v>1194</v>
      </c>
      <c r="I885" s="283">
        <f>C12</f>
        <v>651</v>
      </c>
      <c r="J885" s="374" t="s">
        <v>868</v>
      </c>
      <c r="K885" s="283">
        <f t="shared" si="124"/>
        <v>651</v>
      </c>
      <c r="R885" s="748"/>
      <c r="S885" s="283">
        <v>1</v>
      </c>
      <c r="T885" s="283" t="s">
        <v>868</v>
      </c>
      <c r="U885" s="374" t="s">
        <v>1194</v>
      </c>
      <c r="V885" s="283">
        <f t="shared" si="123"/>
        <v>651</v>
      </c>
      <c r="W885" s="744" t="s">
        <v>868</v>
      </c>
      <c r="X885" s="283">
        <f t="shared" si="125"/>
        <v>651</v>
      </c>
      <c r="AE885" s="283" t="str">
        <f t="shared" si="122"/>
        <v>|</v>
      </c>
      <c r="AG885" s="374" t="s">
        <v>2259</v>
      </c>
    </row>
    <row r="886" spans="6:33" ht="24" customHeight="1">
      <c r="F886" s="283">
        <v>1</v>
      </c>
      <c r="G886" s="283" t="s">
        <v>868</v>
      </c>
      <c r="H886" s="374" t="s">
        <v>1195</v>
      </c>
      <c r="I886" s="283">
        <v>25</v>
      </c>
      <c r="J886" s="374" t="s">
        <v>868</v>
      </c>
      <c r="K886" s="283">
        <f t="shared" si="124"/>
        <v>25</v>
      </c>
      <c r="S886" s="283">
        <v>1</v>
      </c>
      <c r="T886" s="283" t="s">
        <v>868</v>
      </c>
      <c r="U886" s="374" t="s">
        <v>1195</v>
      </c>
      <c r="V886" s="283">
        <f t="shared" si="123"/>
        <v>25</v>
      </c>
      <c r="W886" s="744" t="s">
        <v>868</v>
      </c>
      <c r="X886" s="283">
        <f t="shared" si="125"/>
        <v>25</v>
      </c>
      <c r="AE886" s="283" t="str">
        <f t="shared" si="122"/>
        <v>|</v>
      </c>
      <c r="AG886" s="374" t="s">
        <v>2259</v>
      </c>
    </row>
    <row r="887" spans="6:33" ht="24" customHeight="1">
      <c r="F887" s="283">
        <v>0.5</v>
      </c>
      <c r="G887" s="283" t="s">
        <v>868</v>
      </c>
      <c r="H887" s="374" t="s">
        <v>1196</v>
      </c>
      <c r="I887" s="283">
        <f>C13</f>
        <v>534</v>
      </c>
      <c r="J887" s="374" t="s">
        <v>868</v>
      </c>
      <c r="K887" s="283">
        <f t="shared" si="124"/>
        <v>267</v>
      </c>
      <c r="M887" s="744" t="s">
        <v>1105</v>
      </c>
      <c r="N887" s="374" t="s">
        <v>2251</v>
      </c>
      <c r="O887" s="374" t="s">
        <v>1106</v>
      </c>
      <c r="S887" s="283">
        <v>0.5</v>
      </c>
      <c r="T887" s="283" t="s">
        <v>868</v>
      </c>
      <c r="U887" s="374" t="s">
        <v>1196</v>
      </c>
      <c r="V887" s="283">
        <f t="shared" si="123"/>
        <v>534</v>
      </c>
      <c r="W887" s="744" t="s">
        <v>868</v>
      </c>
      <c r="X887" s="283">
        <f t="shared" si="125"/>
        <v>267</v>
      </c>
      <c r="AE887" s="283" t="str">
        <f t="shared" si="122"/>
        <v>|</v>
      </c>
      <c r="AG887" s="374" t="s">
        <v>2259</v>
      </c>
    </row>
    <row r="888" spans="6:33" ht="24" customHeight="1">
      <c r="G888" s="283" t="s">
        <v>449</v>
      </c>
      <c r="H888" s="374" t="s">
        <v>2139</v>
      </c>
      <c r="J888" s="374" t="s">
        <v>449</v>
      </c>
      <c r="K888" s="283">
        <v>1.98</v>
      </c>
      <c r="O888" s="374" t="s">
        <v>580</v>
      </c>
      <c r="S888" s="283"/>
      <c r="T888" s="283" t="s">
        <v>449</v>
      </c>
      <c r="U888" s="374" t="s">
        <v>2139</v>
      </c>
      <c r="W888" s="744" t="s">
        <v>449</v>
      </c>
      <c r="X888" s="283">
        <v>0.27</v>
      </c>
      <c r="AE888" s="283" t="str">
        <f t="shared" si="122"/>
        <v>|</v>
      </c>
      <c r="AG888" s="374" t="s">
        <v>2259</v>
      </c>
    </row>
    <row r="889" spans="6:33" ht="24" customHeight="1">
      <c r="K889" s="748" t="s">
        <v>1586</v>
      </c>
      <c r="O889" s="748" t="s">
        <v>1586</v>
      </c>
      <c r="P889" s="748" t="s">
        <v>1586</v>
      </c>
      <c r="S889" s="283"/>
      <c r="W889" s="744"/>
      <c r="X889" s="748" t="s">
        <v>1586</v>
      </c>
      <c r="AE889" s="283" t="str">
        <f t="shared" si="122"/>
        <v>|</v>
      </c>
      <c r="AG889" s="374" t="s">
        <v>2259</v>
      </c>
    </row>
    <row r="890" spans="6:33" ht="24" customHeight="1">
      <c r="H890" s="757" t="s">
        <v>283</v>
      </c>
      <c r="K890" s="751">
        <f>SUM(K878:K888)</f>
        <v>2772</v>
      </c>
      <c r="L890" s="283">
        <f>K890-1729</f>
        <v>1043</v>
      </c>
      <c r="O890" s="374" t="s">
        <v>581</v>
      </c>
      <c r="S890" s="283"/>
      <c r="U890" s="757" t="s">
        <v>283</v>
      </c>
      <c r="W890" s="744"/>
      <c r="X890" s="751">
        <f>SUM(X878:X888)</f>
        <v>3026.15</v>
      </c>
      <c r="AE890" s="283" t="str">
        <f t="shared" si="122"/>
        <v>|</v>
      </c>
      <c r="AG890" s="374" t="s">
        <v>2259</v>
      </c>
    </row>
    <row r="891" spans="6:33" ht="24" customHeight="1">
      <c r="K891" s="748" t="s">
        <v>1586</v>
      </c>
      <c r="M891" s="283">
        <v>0.5</v>
      </c>
      <c r="N891" s="744" t="s">
        <v>769</v>
      </c>
      <c r="O891" s="374" t="s">
        <v>74</v>
      </c>
      <c r="P891" s="283">
        <f>C16</f>
        <v>976</v>
      </c>
      <c r="Q891" s="744" t="s">
        <v>1716</v>
      </c>
      <c r="R891" s="283">
        <f>(M891*P891)</f>
        <v>488</v>
      </c>
      <c r="W891" s="744"/>
      <c r="AE891" s="283" t="str">
        <f t="shared" si="122"/>
        <v>|</v>
      </c>
      <c r="AG891" s="374" t="s">
        <v>2259</v>
      </c>
    </row>
    <row r="892" spans="6:33" ht="24" customHeight="1">
      <c r="F892" s="744"/>
      <c r="G892" s="283" t="s">
        <v>520</v>
      </c>
      <c r="H892" s="744" t="s">
        <v>563</v>
      </c>
      <c r="K892" s="283">
        <f>K890-1800.2</f>
        <v>971.8</v>
      </c>
      <c r="M892" s="283">
        <v>0.25</v>
      </c>
      <c r="N892" s="744" t="s">
        <v>769</v>
      </c>
      <c r="O892" s="374" t="s">
        <v>878</v>
      </c>
      <c r="P892" s="283">
        <f>C12</f>
        <v>651</v>
      </c>
      <c r="Q892" s="744" t="s">
        <v>1716</v>
      </c>
      <c r="R892" s="283">
        <f>(M892*P892)</f>
        <v>162.75</v>
      </c>
      <c r="S892" s="283"/>
      <c r="T892" s="283" t="s">
        <v>316</v>
      </c>
      <c r="U892" s="744" t="s">
        <v>3759</v>
      </c>
      <c r="W892" s="744"/>
      <c r="AE892" s="283" t="str">
        <f t="shared" si="122"/>
        <v>|</v>
      </c>
      <c r="AG892" s="374" t="s">
        <v>2259</v>
      </c>
    </row>
    <row r="893" spans="6:33" ht="24" customHeight="1">
      <c r="H893" s="744" t="s">
        <v>1781</v>
      </c>
      <c r="R893" s="748" t="s">
        <v>1586</v>
      </c>
      <c r="S893" s="283"/>
      <c r="U893" s="744" t="s">
        <v>1781</v>
      </c>
      <c r="W893" s="744"/>
      <c r="AE893" s="283" t="str">
        <f t="shared" si="122"/>
        <v>|</v>
      </c>
      <c r="AG893" s="374" t="s">
        <v>2259</v>
      </c>
    </row>
    <row r="894" spans="6:33" ht="24" customHeight="1">
      <c r="F894" s="782">
        <v>3.5299999999999998E-2</v>
      </c>
      <c r="G894" s="283" t="s">
        <v>869</v>
      </c>
      <c r="H894" s="374" t="s">
        <v>2073</v>
      </c>
      <c r="I894" s="283">
        <f t="shared" ref="I894:I899" si="126">I878</f>
        <v>7888.83</v>
      </c>
      <c r="J894" s="374" t="s">
        <v>869</v>
      </c>
      <c r="K894" s="283">
        <f>F894*I894</f>
        <v>278.48</v>
      </c>
      <c r="O894" s="744" t="s">
        <v>1162</v>
      </c>
      <c r="R894" s="283">
        <f>SUM(R891:R892)</f>
        <v>650.75</v>
      </c>
      <c r="S894" s="782">
        <v>5.91E-2</v>
      </c>
      <c r="T894" s="283" t="s">
        <v>869</v>
      </c>
      <c r="U894" s="374" t="s">
        <v>2073</v>
      </c>
      <c r="V894" s="283">
        <f>V878</f>
        <v>7888.83</v>
      </c>
      <c r="W894" s="744" t="s">
        <v>869</v>
      </c>
      <c r="X894" s="283">
        <f>S894*V894</f>
        <v>466.23</v>
      </c>
      <c r="AE894" s="283" t="str">
        <f t="shared" si="122"/>
        <v>|</v>
      </c>
      <c r="AG894" s="374" t="s">
        <v>2259</v>
      </c>
    </row>
    <row r="895" spans="6:33" ht="24" customHeight="1">
      <c r="F895" s="283">
        <v>4.59</v>
      </c>
      <c r="G895" s="283" t="s">
        <v>1645</v>
      </c>
      <c r="H895" s="374" t="s">
        <v>2074</v>
      </c>
      <c r="I895" s="283">
        <f t="shared" si="126"/>
        <v>88873.5</v>
      </c>
      <c r="J895" s="374" t="s">
        <v>861</v>
      </c>
      <c r="K895" s="283">
        <f>F895*I895/1000</f>
        <v>407.93</v>
      </c>
      <c r="R895" s="748" t="s">
        <v>1586</v>
      </c>
      <c r="S895" s="785">
        <v>6.58</v>
      </c>
      <c r="T895" s="283" t="s">
        <v>1645</v>
      </c>
      <c r="U895" s="374" t="s">
        <v>2074</v>
      </c>
      <c r="V895" s="283">
        <f t="shared" ref="V895:V903" si="127">V879</f>
        <v>88873.5</v>
      </c>
      <c r="W895" s="744" t="s">
        <v>861</v>
      </c>
      <c r="X895" s="283">
        <f>S895*V895/1000</f>
        <v>584.79</v>
      </c>
      <c r="AE895" s="283" t="str">
        <f t="shared" si="122"/>
        <v>|</v>
      </c>
      <c r="AG895" s="374" t="s">
        <v>2259</v>
      </c>
    </row>
    <row r="896" spans="6:33" ht="24" customHeight="1">
      <c r="F896" s="283">
        <v>3</v>
      </c>
      <c r="G896" s="283" t="s">
        <v>868</v>
      </c>
      <c r="H896" s="374" t="s">
        <v>1186</v>
      </c>
      <c r="I896" s="283">
        <f t="shared" si="126"/>
        <v>14.8</v>
      </c>
      <c r="J896" s="374" t="s">
        <v>868</v>
      </c>
      <c r="K896" s="283">
        <f t="shared" ref="K896:K903" si="128">F896*I896</f>
        <v>44.4</v>
      </c>
      <c r="O896" s="744" t="s">
        <v>1163</v>
      </c>
      <c r="R896" s="283">
        <f>R894/0.0283</f>
        <v>22994.7</v>
      </c>
      <c r="S896" s="283">
        <v>3</v>
      </c>
      <c r="T896" s="283" t="s">
        <v>868</v>
      </c>
      <c r="U896" s="374" t="s">
        <v>1186</v>
      </c>
      <c r="V896" s="283">
        <f t="shared" si="127"/>
        <v>14.8</v>
      </c>
      <c r="W896" s="744" t="s">
        <v>868</v>
      </c>
      <c r="X896" s="283">
        <f t="shared" ref="X896:X903" si="129">S896*V896</f>
        <v>44.4</v>
      </c>
      <c r="AE896" s="283" t="str">
        <f t="shared" si="122"/>
        <v>|</v>
      </c>
      <c r="AG896" s="374" t="s">
        <v>2259</v>
      </c>
    </row>
    <row r="897" spans="6:33" ht="24" customHeight="1">
      <c r="F897" s="283">
        <v>12</v>
      </c>
      <c r="G897" s="283" t="s">
        <v>868</v>
      </c>
      <c r="H897" s="374" t="s">
        <v>1187</v>
      </c>
      <c r="I897" s="283">
        <f t="shared" si="126"/>
        <v>2</v>
      </c>
      <c r="J897" s="374" t="s">
        <v>868</v>
      </c>
      <c r="K897" s="283">
        <f t="shared" si="128"/>
        <v>24</v>
      </c>
      <c r="R897" s="748" t="s">
        <v>1586</v>
      </c>
      <c r="S897" s="283">
        <v>12</v>
      </c>
      <c r="T897" s="283" t="s">
        <v>868</v>
      </c>
      <c r="U897" s="374" t="s">
        <v>1187</v>
      </c>
      <c r="V897" s="283">
        <f t="shared" si="127"/>
        <v>2</v>
      </c>
      <c r="W897" s="744" t="s">
        <v>868</v>
      </c>
      <c r="X897" s="283">
        <f t="shared" si="129"/>
        <v>24</v>
      </c>
      <c r="AE897" s="283" t="str">
        <f t="shared" si="122"/>
        <v>|</v>
      </c>
      <c r="AG897" s="374" t="s">
        <v>2259</v>
      </c>
    </row>
    <row r="898" spans="6:33" ht="24" customHeight="1">
      <c r="F898" s="283">
        <v>2</v>
      </c>
      <c r="G898" s="283" t="s">
        <v>868</v>
      </c>
      <c r="H898" s="283" t="str">
        <f>H882</f>
        <v>TOWER BOLT RECEIVER</v>
      </c>
      <c r="I898" s="283">
        <f t="shared" si="126"/>
        <v>4.9000000000000004</v>
      </c>
      <c r="J898" s="374" t="s">
        <v>868</v>
      </c>
      <c r="K898" s="283">
        <f t="shared" si="128"/>
        <v>9.8000000000000007</v>
      </c>
      <c r="S898" s="283">
        <v>2</v>
      </c>
      <c r="T898" s="283" t="s">
        <v>868</v>
      </c>
      <c r="U898" s="374" t="s">
        <v>1188</v>
      </c>
      <c r="V898" s="283">
        <f t="shared" si="127"/>
        <v>4.9000000000000004</v>
      </c>
      <c r="W898" s="744" t="s">
        <v>868</v>
      </c>
      <c r="X898" s="283">
        <f t="shared" si="129"/>
        <v>9.8000000000000007</v>
      </c>
      <c r="AE898" s="283" t="str">
        <f t="shared" si="122"/>
        <v>|</v>
      </c>
      <c r="AG898" s="374" t="s">
        <v>2259</v>
      </c>
    </row>
    <row r="899" spans="6:33" ht="24" customHeight="1">
      <c r="F899" s="283">
        <v>6</v>
      </c>
      <c r="G899" s="283" t="s">
        <v>868</v>
      </c>
      <c r="H899" s="374" t="s">
        <v>2220</v>
      </c>
      <c r="I899" s="283">
        <f t="shared" si="126"/>
        <v>4.45</v>
      </c>
      <c r="J899" s="374" t="s">
        <v>868</v>
      </c>
      <c r="K899" s="283">
        <f t="shared" si="128"/>
        <v>26.7</v>
      </c>
      <c r="S899" s="283">
        <v>6</v>
      </c>
      <c r="T899" s="283" t="s">
        <v>868</v>
      </c>
      <c r="U899" s="374" t="s">
        <v>2220</v>
      </c>
      <c r="V899" s="283">
        <f t="shared" si="127"/>
        <v>4.45</v>
      </c>
      <c r="W899" s="744" t="s">
        <v>868</v>
      </c>
      <c r="X899" s="283">
        <f t="shared" si="129"/>
        <v>26.7</v>
      </c>
      <c r="AE899" s="283" t="str">
        <f t="shared" si="122"/>
        <v>|</v>
      </c>
      <c r="AG899" s="374" t="s">
        <v>2259</v>
      </c>
    </row>
    <row r="900" spans="6:33" ht="24" customHeight="1">
      <c r="F900" s="283">
        <v>1</v>
      </c>
      <c r="G900" s="283" t="s">
        <v>868</v>
      </c>
      <c r="H900" s="374" t="s">
        <v>1193</v>
      </c>
      <c r="I900" s="283">
        <f>C10</f>
        <v>999</v>
      </c>
      <c r="J900" s="374" t="s">
        <v>868</v>
      </c>
      <c r="K900" s="283">
        <f t="shared" si="128"/>
        <v>999</v>
      </c>
      <c r="S900" s="283">
        <v>1</v>
      </c>
      <c r="T900" s="283" t="s">
        <v>868</v>
      </c>
      <c r="U900" s="374" t="s">
        <v>1193</v>
      </c>
      <c r="V900" s="283">
        <f t="shared" si="127"/>
        <v>999</v>
      </c>
      <c r="W900" s="744" t="s">
        <v>868</v>
      </c>
      <c r="X900" s="283">
        <f t="shared" si="129"/>
        <v>999</v>
      </c>
      <c r="AE900" s="283" t="str">
        <f t="shared" si="122"/>
        <v>|</v>
      </c>
      <c r="AG900" s="374" t="s">
        <v>2259</v>
      </c>
    </row>
    <row r="901" spans="6:33" ht="24" customHeight="1">
      <c r="F901" s="283">
        <v>1</v>
      </c>
      <c r="G901" s="283" t="s">
        <v>868</v>
      </c>
      <c r="H901" s="374" t="s">
        <v>1194</v>
      </c>
      <c r="I901" s="283">
        <f>C12</f>
        <v>651</v>
      </c>
      <c r="J901" s="374" t="s">
        <v>868</v>
      </c>
      <c r="K901" s="283">
        <f t="shared" si="128"/>
        <v>651</v>
      </c>
      <c r="S901" s="283">
        <v>1</v>
      </c>
      <c r="T901" s="283" t="s">
        <v>868</v>
      </c>
      <c r="U901" s="374" t="s">
        <v>1194</v>
      </c>
      <c r="V901" s="283">
        <f t="shared" si="127"/>
        <v>651</v>
      </c>
      <c r="W901" s="744" t="s">
        <v>868</v>
      </c>
      <c r="X901" s="283">
        <f t="shared" si="129"/>
        <v>651</v>
      </c>
      <c r="AE901" s="283" t="str">
        <f t="shared" si="122"/>
        <v>|</v>
      </c>
      <c r="AG901" s="374" t="s">
        <v>2259</v>
      </c>
    </row>
    <row r="902" spans="6:33" ht="101.25" customHeight="1">
      <c r="F902" s="283">
        <v>1</v>
      </c>
      <c r="G902" s="283" t="s">
        <v>868</v>
      </c>
      <c r="H902" s="283" t="str">
        <f>H886</f>
        <v>MOULDING CHARGES</v>
      </c>
      <c r="I902" s="283">
        <v>25</v>
      </c>
      <c r="J902" s="374" t="s">
        <v>868</v>
      </c>
      <c r="K902" s="283">
        <f t="shared" si="128"/>
        <v>25</v>
      </c>
      <c r="S902" s="283">
        <v>1</v>
      </c>
      <c r="T902" s="283" t="s">
        <v>868</v>
      </c>
      <c r="U902" s="374" t="s">
        <v>1195</v>
      </c>
      <c r="V902" s="283">
        <f t="shared" si="127"/>
        <v>25</v>
      </c>
      <c r="W902" s="744" t="s">
        <v>868</v>
      </c>
      <c r="X902" s="283">
        <f t="shared" si="129"/>
        <v>25</v>
      </c>
      <c r="AE902" s="283">
        <f t="shared" si="122"/>
        <v>0</v>
      </c>
    </row>
    <row r="903" spans="6:33" ht="44.25" customHeight="1">
      <c r="F903" s="283">
        <v>0.5</v>
      </c>
      <c r="G903" s="283" t="s">
        <v>868</v>
      </c>
      <c r="H903" s="374" t="s">
        <v>1196</v>
      </c>
      <c r="I903" s="283">
        <f>C13</f>
        <v>534</v>
      </c>
      <c r="J903" s="374" t="s">
        <v>868</v>
      </c>
      <c r="K903" s="283">
        <f t="shared" si="128"/>
        <v>267</v>
      </c>
      <c r="N903" s="374"/>
      <c r="O903" s="374"/>
      <c r="S903" s="283">
        <v>0.5</v>
      </c>
      <c r="T903" s="283" t="s">
        <v>868</v>
      </c>
      <c r="U903" s="374" t="s">
        <v>1196</v>
      </c>
      <c r="V903" s="283">
        <f t="shared" si="127"/>
        <v>534</v>
      </c>
      <c r="W903" s="744" t="s">
        <v>868</v>
      </c>
      <c r="X903" s="283">
        <f t="shared" si="129"/>
        <v>267</v>
      </c>
      <c r="AE903" s="283">
        <f t="shared" si="122"/>
        <v>0</v>
      </c>
    </row>
    <row r="904" spans="6:33" ht="39.75" customHeight="1">
      <c r="G904" s="283" t="s">
        <v>449</v>
      </c>
      <c r="H904" s="374" t="s">
        <v>2139</v>
      </c>
      <c r="J904" s="374" t="s">
        <v>449</v>
      </c>
      <c r="K904" s="283">
        <v>1.39</v>
      </c>
      <c r="M904" s="783"/>
      <c r="N904" s="374"/>
      <c r="O904" s="374"/>
      <c r="S904" s="283"/>
      <c r="T904" s="283" t="s">
        <v>449</v>
      </c>
      <c r="U904" s="374" t="s">
        <v>2139</v>
      </c>
      <c r="W904" s="744" t="s">
        <v>449</v>
      </c>
      <c r="X904" s="283">
        <v>0.21</v>
      </c>
      <c r="AE904" s="283">
        <f t="shared" si="122"/>
        <v>0</v>
      </c>
    </row>
    <row r="905" spans="6:33" ht="24" customHeight="1">
      <c r="K905" s="748" t="s">
        <v>1586</v>
      </c>
      <c r="N905" s="374"/>
      <c r="O905" s="374"/>
      <c r="S905" s="283"/>
      <c r="W905" s="744"/>
      <c r="X905" s="748" t="s">
        <v>1586</v>
      </c>
      <c r="AE905" s="283">
        <f t="shared" si="122"/>
        <v>0</v>
      </c>
    </row>
    <row r="906" spans="6:33" ht="24" customHeight="1">
      <c r="H906" s="757" t="s">
        <v>283</v>
      </c>
      <c r="K906" s="751">
        <f>SUM(K894:K904)</f>
        <v>2734.7</v>
      </c>
      <c r="S906" s="283"/>
      <c r="U906" s="757" t="s">
        <v>283</v>
      </c>
      <c r="W906" s="744"/>
      <c r="X906" s="751">
        <f>SUM(X894:X904)</f>
        <v>3098.13</v>
      </c>
      <c r="AE906" s="283">
        <f t="shared" si="122"/>
        <v>0</v>
      </c>
    </row>
    <row r="907" spans="6:33" ht="24" customHeight="1">
      <c r="K907" s="748" t="s">
        <v>1586</v>
      </c>
      <c r="W907" s="744"/>
      <c r="AE907" s="283">
        <f t="shared" si="122"/>
        <v>0</v>
      </c>
    </row>
    <row r="908" spans="6:33" ht="24" customHeight="1">
      <c r="R908" s="748"/>
      <c r="W908" s="744"/>
      <c r="AE908" s="283">
        <f t="shared" si="122"/>
        <v>0</v>
      </c>
    </row>
    <row r="909" spans="6:33" ht="55.5" customHeight="1">
      <c r="F909" s="794">
        <v>21.3</v>
      </c>
      <c r="G909" s="283" t="s">
        <v>2251</v>
      </c>
      <c r="H909" s="795" t="s">
        <v>1727</v>
      </c>
      <c r="O909" s="744"/>
      <c r="W909" s="744"/>
      <c r="AE909" s="283">
        <f t="shared" si="122"/>
        <v>0</v>
      </c>
    </row>
    <row r="910" spans="6:33" ht="24" customHeight="1">
      <c r="H910" s="374" t="s">
        <v>2260</v>
      </c>
      <c r="W910" s="744"/>
      <c r="AE910" s="283">
        <f t="shared" si="122"/>
        <v>0</v>
      </c>
    </row>
    <row r="911" spans="6:33" ht="24" customHeight="1">
      <c r="H911" s="748" t="s">
        <v>1586</v>
      </c>
      <c r="J911" s="374" t="s">
        <v>1304</v>
      </c>
      <c r="W911" s="744"/>
      <c r="AE911" s="283">
        <f t="shared" si="122"/>
        <v>0</v>
      </c>
    </row>
    <row r="912" spans="6:33" ht="24" customHeight="1">
      <c r="W912" s="744"/>
      <c r="AE912" s="283">
        <f t="shared" si="122"/>
        <v>0</v>
      </c>
    </row>
    <row r="913" spans="6:33" ht="24" customHeight="1">
      <c r="H913" s="374" t="s">
        <v>5305</v>
      </c>
      <c r="J913" s="374" t="s">
        <v>609</v>
      </c>
      <c r="K913" s="751">
        <v>2135</v>
      </c>
      <c r="W913" s="744"/>
      <c r="AE913" s="283">
        <f t="shared" si="122"/>
        <v>0</v>
      </c>
    </row>
    <row r="914" spans="6:33" ht="24" customHeight="1">
      <c r="F914" s="374" t="s">
        <v>975</v>
      </c>
      <c r="W914" s="744"/>
      <c r="AE914" s="283">
        <f t="shared" si="122"/>
        <v>0</v>
      </c>
    </row>
    <row r="915" spans="6:33" ht="24" customHeight="1">
      <c r="H915" s="744" t="s">
        <v>2261</v>
      </c>
      <c r="K915" s="748" t="s">
        <v>2055</v>
      </c>
      <c r="W915" s="744"/>
      <c r="AE915" s="283">
        <f t="shared" si="122"/>
        <v>0</v>
      </c>
    </row>
    <row r="916" spans="6:33" ht="24" customHeight="1">
      <c r="H916" s="744" t="s">
        <v>1368</v>
      </c>
      <c r="W916" s="744"/>
      <c r="AE916" s="283">
        <f t="shared" si="122"/>
        <v>0</v>
      </c>
    </row>
    <row r="917" spans="6:33" ht="24" customHeight="1">
      <c r="F917" s="765">
        <v>21.2</v>
      </c>
      <c r="H917" s="751" t="s">
        <v>1728</v>
      </c>
      <c r="W917" s="744"/>
      <c r="AE917" s="283">
        <f t="shared" si="122"/>
        <v>0</v>
      </c>
    </row>
    <row r="918" spans="6:33" ht="24" customHeight="1">
      <c r="F918" s="765"/>
      <c r="H918" s="748" t="s">
        <v>1586</v>
      </c>
      <c r="W918" s="744"/>
      <c r="AE918" s="283" t="str">
        <f t="shared" si="122"/>
        <v>|</v>
      </c>
      <c r="AG918" s="374" t="s">
        <v>2259</v>
      </c>
    </row>
    <row r="919" spans="6:33" ht="24" customHeight="1">
      <c r="G919" s="283" t="s">
        <v>154</v>
      </c>
      <c r="H919" s="374" t="s">
        <v>1369</v>
      </c>
      <c r="K919" s="374" t="s">
        <v>975</v>
      </c>
      <c r="W919" s="744"/>
      <c r="AE919" s="283" t="str">
        <f t="shared" si="122"/>
        <v>|</v>
      </c>
      <c r="AG919" s="374" t="s">
        <v>2259</v>
      </c>
    </row>
    <row r="920" spans="6:33" ht="24" customHeight="1">
      <c r="H920" s="748" t="s">
        <v>1586</v>
      </c>
      <c r="K920" s="374" t="s">
        <v>975</v>
      </c>
      <c r="W920" s="744"/>
      <c r="AE920" s="283" t="str">
        <f t="shared" si="122"/>
        <v>|</v>
      </c>
      <c r="AG920" s="374" t="s">
        <v>2259</v>
      </c>
    </row>
    <row r="921" spans="6:33" ht="24" customHeight="1">
      <c r="F921" s="283">
        <v>1</v>
      </c>
      <c r="G921" s="283" t="s">
        <v>869</v>
      </c>
      <c r="H921" s="374" t="s">
        <v>1568</v>
      </c>
      <c r="I921" s="283">
        <f>C30</f>
        <v>13690</v>
      </c>
      <c r="J921" s="374" t="s">
        <v>869</v>
      </c>
      <c r="K921" s="283">
        <f>(F921*I921)</f>
        <v>13690</v>
      </c>
      <c r="W921" s="744"/>
      <c r="AE921" s="283" t="str">
        <f t="shared" si="122"/>
        <v>|</v>
      </c>
      <c r="AG921" s="374" t="s">
        <v>2259</v>
      </c>
    </row>
    <row r="922" spans="6:33" ht="24" customHeight="1">
      <c r="F922" s="283">
        <v>1</v>
      </c>
      <c r="G922" s="283" t="s">
        <v>869</v>
      </c>
      <c r="H922" s="374" t="s">
        <v>1369</v>
      </c>
      <c r="I922" s="283">
        <f>C89</f>
        <v>111600</v>
      </c>
      <c r="J922" s="374" t="s">
        <v>869</v>
      </c>
      <c r="K922" s="283">
        <f>(F922*I922)</f>
        <v>111600</v>
      </c>
      <c r="W922" s="744"/>
      <c r="AE922" s="283" t="str">
        <f t="shared" si="122"/>
        <v>|</v>
      </c>
      <c r="AG922" s="374" t="s">
        <v>2259</v>
      </c>
    </row>
    <row r="923" spans="6:33" ht="24" customHeight="1">
      <c r="K923" s="748" t="s">
        <v>2055</v>
      </c>
      <c r="W923" s="744"/>
      <c r="AE923" s="283">
        <f t="shared" si="122"/>
        <v>0</v>
      </c>
    </row>
    <row r="924" spans="6:33" ht="24" customHeight="1">
      <c r="H924" s="374" t="s">
        <v>1569</v>
      </c>
      <c r="K924" s="751">
        <f>SUM(K921:K922)</f>
        <v>125290</v>
      </c>
      <c r="W924" s="744"/>
      <c r="AE924" s="283" t="str">
        <f t="shared" si="122"/>
        <v>|</v>
      </c>
      <c r="AG924" s="374" t="s">
        <v>2259</v>
      </c>
    </row>
    <row r="925" spans="6:33" ht="24" customHeight="1">
      <c r="K925" s="748" t="s">
        <v>2055</v>
      </c>
      <c r="W925" s="744"/>
      <c r="AE925" s="283" t="str">
        <f t="shared" si="122"/>
        <v>|</v>
      </c>
      <c r="AG925" s="374" t="s">
        <v>2259</v>
      </c>
    </row>
    <row r="926" spans="6:33" ht="24" customHeight="1">
      <c r="G926" s="283" t="s">
        <v>1555</v>
      </c>
      <c r="H926" s="374" t="s">
        <v>1570</v>
      </c>
      <c r="K926" s="374" t="s">
        <v>975</v>
      </c>
      <c r="W926" s="744"/>
      <c r="AE926" s="283" t="str">
        <f t="shared" si="122"/>
        <v>|</v>
      </c>
      <c r="AG926" s="374" t="s">
        <v>2259</v>
      </c>
    </row>
    <row r="927" spans="6:33" ht="24" customHeight="1">
      <c r="H927" s="748" t="s">
        <v>1586</v>
      </c>
      <c r="M927" s="744" t="s">
        <v>564</v>
      </c>
      <c r="N927" s="283" t="s">
        <v>2251</v>
      </c>
      <c r="O927" s="374" t="s">
        <v>329</v>
      </c>
      <c r="Q927" s="374"/>
      <c r="W927" s="744"/>
      <c r="AE927" s="283">
        <f t="shared" si="122"/>
        <v>0</v>
      </c>
      <c r="AG927" s="374"/>
    </row>
    <row r="928" spans="6:33" ht="24" customHeight="1">
      <c r="F928" s="283">
        <v>1</v>
      </c>
      <c r="G928" s="283" t="s">
        <v>869</v>
      </c>
      <c r="H928" s="374" t="s">
        <v>1568</v>
      </c>
      <c r="I928" s="283">
        <f>C30</f>
        <v>13690</v>
      </c>
      <c r="J928" s="374" t="s">
        <v>869</v>
      </c>
      <c r="K928" s="283">
        <f>(F928*I928)</f>
        <v>13690</v>
      </c>
      <c r="O928" s="374" t="s">
        <v>256</v>
      </c>
      <c r="Q928" s="374"/>
      <c r="W928" s="744"/>
      <c r="AE928" s="283" t="str">
        <f t="shared" si="122"/>
        <v>|</v>
      </c>
      <c r="AG928" s="374" t="s">
        <v>2259</v>
      </c>
    </row>
    <row r="929" spans="6:33" ht="24" customHeight="1">
      <c r="F929" s="283">
        <v>1</v>
      </c>
      <c r="G929" s="283" t="s">
        <v>869</v>
      </c>
      <c r="H929" s="374" t="s">
        <v>1369</v>
      </c>
      <c r="I929" s="283">
        <f>C90</f>
        <v>99400</v>
      </c>
      <c r="J929" s="374" t="s">
        <v>869</v>
      </c>
      <c r="K929" s="283">
        <f>(F929*I929)</f>
        <v>99400</v>
      </c>
      <c r="O929" s="374" t="s">
        <v>1470</v>
      </c>
      <c r="Q929" s="374"/>
      <c r="W929" s="744"/>
      <c r="AE929" s="283" t="str">
        <f t="shared" si="122"/>
        <v>|</v>
      </c>
      <c r="AG929" s="374" t="s">
        <v>2259</v>
      </c>
    </row>
    <row r="930" spans="6:33" ht="24" customHeight="1">
      <c r="K930" s="748" t="s">
        <v>2055</v>
      </c>
      <c r="O930" s="748" t="s">
        <v>1586</v>
      </c>
      <c r="Q930" s="374"/>
      <c r="W930" s="744"/>
      <c r="AE930" s="283" t="str">
        <f t="shared" si="122"/>
        <v>|</v>
      </c>
      <c r="AG930" s="374" t="s">
        <v>2259</v>
      </c>
    </row>
    <row r="931" spans="6:33" ht="24" customHeight="1">
      <c r="H931" s="374" t="s">
        <v>1571</v>
      </c>
      <c r="K931" s="751">
        <f>SUM(K928:K929)</f>
        <v>113090</v>
      </c>
      <c r="O931" s="374" t="s">
        <v>89</v>
      </c>
      <c r="Q931" s="374"/>
      <c r="W931" s="744"/>
      <c r="AE931" s="283" t="str">
        <f t="shared" si="122"/>
        <v>|</v>
      </c>
      <c r="AG931" s="374" t="s">
        <v>2259</v>
      </c>
    </row>
    <row r="932" spans="6:33" ht="24" customHeight="1">
      <c r="K932" s="748" t="s">
        <v>2055</v>
      </c>
      <c r="O932" s="374" t="s">
        <v>90</v>
      </c>
      <c r="Q932" s="374"/>
      <c r="W932" s="744"/>
      <c r="AE932" s="283" t="str">
        <f t="shared" si="122"/>
        <v>|</v>
      </c>
      <c r="AG932" s="374" t="s">
        <v>2259</v>
      </c>
    </row>
    <row r="933" spans="6:33" ht="24" customHeight="1">
      <c r="Q933" s="374" t="s">
        <v>1586</v>
      </c>
      <c r="W933" s="744"/>
      <c r="AE933" s="283" t="str">
        <f t="shared" si="122"/>
        <v>|</v>
      </c>
      <c r="AG933" s="374" t="s">
        <v>2259</v>
      </c>
    </row>
    <row r="934" spans="6:33" ht="24" customHeight="1">
      <c r="F934" s="744" t="s">
        <v>564</v>
      </c>
      <c r="G934" s="283" t="s">
        <v>2251</v>
      </c>
      <c r="H934" s="374" t="s">
        <v>255</v>
      </c>
      <c r="O934" s="374" t="s">
        <v>1172</v>
      </c>
      <c r="Q934" s="374"/>
      <c r="W934" s="744"/>
      <c r="AE934" s="283" t="str">
        <f t="shared" si="122"/>
        <v>|</v>
      </c>
      <c r="AG934" s="374" t="s">
        <v>2259</v>
      </c>
    </row>
    <row r="935" spans="6:33" ht="24" customHeight="1">
      <c r="H935" s="374" t="s">
        <v>256</v>
      </c>
      <c r="O935" s="374" t="s">
        <v>2006</v>
      </c>
      <c r="Q935" s="374"/>
      <c r="R935" s="782">
        <v>2.4299999999999999E-2</v>
      </c>
      <c r="W935" s="744"/>
      <c r="AE935" s="283" t="str">
        <f t="shared" si="122"/>
        <v>|</v>
      </c>
      <c r="AG935" s="374" t="s">
        <v>2259</v>
      </c>
    </row>
    <row r="936" spans="6:33" ht="24" customHeight="1">
      <c r="H936" s="374" t="s">
        <v>1470</v>
      </c>
      <c r="Q936" s="374" t="s">
        <v>975</v>
      </c>
      <c r="R936" s="748" t="s">
        <v>1586</v>
      </c>
      <c r="W936" s="744"/>
      <c r="AE936" s="283" t="str">
        <f t="shared" si="122"/>
        <v>|</v>
      </c>
      <c r="AG936" s="374" t="s">
        <v>2259</v>
      </c>
    </row>
    <row r="937" spans="6:33" ht="24" customHeight="1">
      <c r="H937" s="748" t="s">
        <v>1586</v>
      </c>
      <c r="O937" s="374" t="s">
        <v>2007</v>
      </c>
      <c r="Q937" s="796" t="s">
        <v>975</v>
      </c>
      <c r="R937" s="782">
        <v>1.47E-2</v>
      </c>
      <c r="W937" s="744"/>
      <c r="AE937" s="283" t="str">
        <f t="shared" si="122"/>
        <v>|</v>
      </c>
      <c r="AG937" s="374" t="s">
        <v>2259</v>
      </c>
    </row>
    <row r="938" spans="6:33" ht="24" customHeight="1">
      <c r="H938" s="374" t="s">
        <v>89</v>
      </c>
      <c r="O938" s="374" t="s">
        <v>1766</v>
      </c>
      <c r="Q938" s="374" t="s">
        <v>975</v>
      </c>
      <c r="R938" s="782">
        <v>4.5999999999999999E-3</v>
      </c>
      <c r="W938" s="744"/>
      <c r="AE938" s="283" t="str">
        <f t="shared" si="122"/>
        <v>|</v>
      </c>
      <c r="AG938" s="374" t="s">
        <v>2259</v>
      </c>
    </row>
    <row r="939" spans="6:33" ht="24" customHeight="1">
      <c r="H939" s="374" t="s">
        <v>90</v>
      </c>
      <c r="Q939" s="374"/>
      <c r="R939" s="748" t="s">
        <v>1586</v>
      </c>
      <c r="W939" s="744"/>
      <c r="AE939" s="283" t="str">
        <f t="shared" si="122"/>
        <v>|</v>
      </c>
      <c r="AG939" s="374" t="s">
        <v>2259</v>
      </c>
    </row>
    <row r="940" spans="6:33" ht="24" customHeight="1">
      <c r="J940" s="374" t="s">
        <v>1586</v>
      </c>
      <c r="Q940" s="374"/>
      <c r="R940" s="782">
        <v>1.9300000000000001E-2</v>
      </c>
      <c r="W940" s="744"/>
      <c r="AE940" s="283" t="str">
        <f t="shared" si="122"/>
        <v>|</v>
      </c>
      <c r="AG940" s="374" t="s">
        <v>2259</v>
      </c>
    </row>
    <row r="941" spans="6:33" ht="24" customHeight="1">
      <c r="H941" s="374" t="s">
        <v>1172</v>
      </c>
      <c r="Q941" s="374"/>
      <c r="R941" s="748" t="s">
        <v>1586</v>
      </c>
      <c r="W941" s="744"/>
      <c r="AE941" s="283" t="str">
        <f t="shared" si="122"/>
        <v>|</v>
      </c>
      <c r="AG941" s="374" t="s">
        <v>2259</v>
      </c>
    </row>
    <row r="942" spans="6:33" ht="24" customHeight="1">
      <c r="H942" s="374" t="s">
        <v>2006</v>
      </c>
      <c r="K942" s="782">
        <v>2.4299999999999999E-2</v>
      </c>
      <c r="Q942" s="374"/>
      <c r="W942" s="744"/>
      <c r="AE942" s="283" t="str">
        <f t="shared" si="122"/>
        <v>|</v>
      </c>
      <c r="AG942" s="374" t="s">
        <v>2259</v>
      </c>
    </row>
    <row r="943" spans="6:33" ht="24" customHeight="1">
      <c r="J943" s="374" t="s">
        <v>975</v>
      </c>
      <c r="K943" s="748" t="s">
        <v>1586</v>
      </c>
      <c r="Q943" s="374"/>
      <c r="W943" s="744"/>
      <c r="AE943" s="283" t="str">
        <f t="shared" si="122"/>
        <v>|</v>
      </c>
      <c r="AG943" s="374" t="s">
        <v>2259</v>
      </c>
    </row>
    <row r="944" spans="6:33" ht="24" customHeight="1">
      <c r="H944" s="374" t="s">
        <v>2007</v>
      </c>
      <c r="J944" s="796" t="s">
        <v>975</v>
      </c>
      <c r="K944" s="782">
        <v>1.47E-2</v>
      </c>
      <c r="M944" s="782">
        <v>1.14E-2</v>
      </c>
      <c r="N944" s="283" t="s">
        <v>869</v>
      </c>
      <c r="O944" s="374" t="s">
        <v>3906</v>
      </c>
      <c r="P944" s="283">
        <f>C87</f>
        <v>34300</v>
      </c>
      <c r="Q944" s="374" t="s">
        <v>869</v>
      </c>
      <c r="R944" s="283">
        <f>(M944*P944)</f>
        <v>391.02</v>
      </c>
      <c r="W944" s="744"/>
      <c r="AE944" s="283" t="str">
        <f t="shared" si="122"/>
        <v>|</v>
      </c>
      <c r="AG944" s="374" t="s">
        <v>2259</v>
      </c>
    </row>
    <row r="945" spans="6:33" ht="24" customHeight="1">
      <c r="H945" s="374" t="s">
        <v>1766</v>
      </c>
      <c r="J945" s="374" t="s">
        <v>975</v>
      </c>
      <c r="K945" s="782">
        <v>4.5999999999999999E-3</v>
      </c>
      <c r="M945" s="782">
        <v>2.4299999999999999E-2</v>
      </c>
      <c r="N945" s="283" t="s">
        <v>869</v>
      </c>
      <c r="O945" s="374" t="s">
        <v>3907</v>
      </c>
      <c r="P945" s="283">
        <f>P944</f>
        <v>34300</v>
      </c>
      <c r="Q945" s="374" t="s">
        <v>869</v>
      </c>
      <c r="R945" s="283">
        <f>(M945*P945)</f>
        <v>833.49</v>
      </c>
      <c r="W945" s="744"/>
      <c r="AE945" s="283" t="str">
        <f t="shared" si="122"/>
        <v>|</v>
      </c>
      <c r="AG945" s="374" t="s">
        <v>2259</v>
      </c>
    </row>
    <row r="946" spans="6:33" ht="24" customHeight="1">
      <c r="K946" s="748" t="s">
        <v>1586</v>
      </c>
      <c r="M946" s="782">
        <v>1.9300000000000001E-2</v>
      </c>
      <c r="N946" s="283" t="s">
        <v>869</v>
      </c>
      <c r="O946" s="374" t="s">
        <v>3908</v>
      </c>
      <c r="P946" s="283">
        <f>C88</f>
        <v>39400</v>
      </c>
      <c r="Q946" s="374" t="s">
        <v>869</v>
      </c>
      <c r="R946" s="283">
        <f>(M946*P946)</f>
        <v>760.42</v>
      </c>
      <c r="W946" s="744"/>
      <c r="AE946" s="283" t="str">
        <f t="shared" si="122"/>
        <v>|</v>
      </c>
      <c r="AG946" s="374" t="s">
        <v>2259</v>
      </c>
    </row>
    <row r="947" spans="6:33" ht="24" customHeight="1">
      <c r="K947" s="782">
        <v>1.9300000000000001E-2</v>
      </c>
      <c r="M947" s="783"/>
      <c r="O947" s="374"/>
      <c r="P947" s="374" t="s">
        <v>975</v>
      </c>
      <c r="Q947" s="374"/>
      <c r="R947" s="374" t="s">
        <v>975</v>
      </c>
      <c r="W947" s="744"/>
      <c r="AE947" s="283">
        <f t="shared" si="122"/>
        <v>0</v>
      </c>
    </row>
    <row r="948" spans="6:33" ht="24" customHeight="1">
      <c r="K948" s="748" t="s">
        <v>1586</v>
      </c>
      <c r="M948" s="783">
        <v>1.823</v>
      </c>
      <c r="N948" s="283" t="s">
        <v>609</v>
      </c>
      <c r="O948" s="374" t="s">
        <v>447</v>
      </c>
      <c r="P948" s="283">
        <f>I955</f>
        <v>1537</v>
      </c>
      <c r="Q948" s="374" t="s">
        <v>609</v>
      </c>
      <c r="R948" s="283">
        <f t="shared" ref="R948:R954" si="130">(M948*P948)</f>
        <v>2801.95</v>
      </c>
      <c r="W948" s="744"/>
      <c r="AE948" s="283">
        <f t="shared" si="122"/>
        <v>0</v>
      </c>
    </row>
    <row r="949" spans="6:33" ht="24" customHeight="1">
      <c r="M949" s="283">
        <v>1</v>
      </c>
      <c r="N949" s="283" t="s">
        <v>769</v>
      </c>
      <c r="O949" s="374" t="s">
        <v>1463</v>
      </c>
      <c r="P949" s="283">
        <f t="shared" ref="P949:P954" si="131">I956</f>
        <v>57.65</v>
      </c>
      <c r="Q949" s="374" t="s">
        <v>868</v>
      </c>
      <c r="R949" s="283">
        <f t="shared" si="130"/>
        <v>57.65</v>
      </c>
      <c r="W949" s="744"/>
      <c r="AE949" s="283">
        <f t="shared" si="122"/>
        <v>0</v>
      </c>
    </row>
    <row r="950" spans="6:33" ht="24" customHeight="1">
      <c r="M950" s="283">
        <v>3</v>
      </c>
      <c r="N950" s="283" t="s">
        <v>868</v>
      </c>
      <c r="O950" s="374" t="s">
        <v>1464</v>
      </c>
      <c r="P950" s="283">
        <f t="shared" si="131"/>
        <v>89.6</v>
      </c>
      <c r="Q950" s="374" t="s">
        <v>868</v>
      </c>
      <c r="R950" s="283">
        <f t="shared" si="130"/>
        <v>268.8</v>
      </c>
      <c r="W950" s="744"/>
      <c r="AE950" s="283">
        <f t="shared" si="122"/>
        <v>0</v>
      </c>
    </row>
    <row r="951" spans="6:33" ht="24" customHeight="1">
      <c r="F951" s="782">
        <v>1.14E-2</v>
      </c>
      <c r="G951" s="283" t="s">
        <v>869</v>
      </c>
      <c r="H951" s="374" t="s">
        <v>308</v>
      </c>
      <c r="I951" s="283">
        <f>C89</f>
        <v>111600</v>
      </c>
      <c r="J951" s="374" t="s">
        <v>869</v>
      </c>
      <c r="K951" s="283">
        <f>(F951*I951)</f>
        <v>1272.24</v>
      </c>
      <c r="M951" s="283">
        <v>2</v>
      </c>
      <c r="N951" s="283" t="s">
        <v>868</v>
      </c>
      <c r="O951" s="374" t="s">
        <v>1465</v>
      </c>
      <c r="P951" s="283">
        <f t="shared" si="131"/>
        <v>64.8</v>
      </c>
      <c r="Q951" s="374" t="s">
        <v>868</v>
      </c>
      <c r="R951" s="283">
        <f t="shared" si="130"/>
        <v>129.6</v>
      </c>
      <c r="W951" s="744"/>
      <c r="AE951" s="283">
        <f t="shared" ref="AE951:AE1014" si="132">AG951</f>
        <v>0</v>
      </c>
    </row>
    <row r="952" spans="6:33" ht="24" customHeight="1">
      <c r="F952" s="782">
        <v>2.4299999999999999E-2</v>
      </c>
      <c r="G952" s="283" t="s">
        <v>869</v>
      </c>
      <c r="H952" s="374" t="s">
        <v>309</v>
      </c>
      <c r="I952" s="283">
        <f>C90</f>
        <v>99400</v>
      </c>
      <c r="J952" s="374" t="s">
        <v>869</v>
      </c>
      <c r="K952" s="283">
        <f>(F952*I952)</f>
        <v>2415.42</v>
      </c>
      <c r="M952" s="283">
        <v>1</v>
      </c>
      <c r="N952" s="283" t="s">
        <v>868</v>
      </c>
      <c r="O952" s="374" t="s">
        <v>1466</v>
      </c>
      <c r="P952" s="283">
        <f t="shared" si="131"/>
        <v>181</v>
      </c>
      <c r="Q952" s="374" t="s">
        <v>868</v>
      </c>
      <c r="R952" s="283">
        <f t="shared" si="130"/>
        <v>181</v>
      </c>
      <c r="W952" s="744"/>
      <c r="AE952" s="283">
        <f t="shared" si="132"/>
        <v>0</v>
      </c>
    </row>
    <row r="953" spans="6:33" ht="24" customHeight="1">
      <c r="F953" s="782">
        <v>1.9300000000000001E-2</v>
      </c>
      <c r="G953" s="283" t="s">
        <v>869</v>
      </c>
      <c r="H953" s="374" t="s">
        <v>310</v>
      </c>
      <c r="I953" s="283">
        <f>C91</f>
        <v>95000</v>
      </c>
      <c r="J953" s="374" t="s">
        <v>869</v>
      </c>
      <c r="K953" s="283">
        <f>(F953*I953)</f>
        <v>1833.5</v>
      </c>
      <c r="M953" s="283">
        <v>1</v>
      </c>
      <c r="N953" s="283" t="s">
        <v>868</v>
      </c>
      <c r="O953" s="374" t="s">
        <v>1467</v>
      </c>
      <c r="P953" s="283">
        <f t="shared" si="131"/>
        <v>7.3</v>
      </c>
      <c r="Q953" s="374" t="s">
        <v>868</v>
      </c>
      <c r="R953" s="283">
        <f t="shared" si="130"/>
        <v>7.3</v>
      </c>
      <c r="W953" s="744"/>
      <c r="AE953" s="283">
        <f t="shared" si="132"/>
        <v>0</v>
      </c>
    </row>
    <row r="954" spans="6:33" ht="24" customHeight="1">
      <c r="F954" s="783"/>
      <c r="H954" s="374" t="s">
        <v>446</v>
      </c>
      <c r="I954" s="374" t="s">
        <v>975</v>
      </c>
      <c r="K954" s="374" t="s">
        <v>975</v>
      </c>
      <c r="M954" s="283">
        <v>1</v>
      </c>
      <c r="N954" s="283" t="s">
        <v>868</v>
      </c>
      <c r="O954" s="374" t="s">
        <v>1982</v>
      </c>
      <c r="P954" s="283">
        <f t="shared" si="131"/>
        <v>49.55</v>
      </c>
      <c r="Q954" s="374" t="s">
        <v>868</v>
      </c>
      <c r="R954" s="283">
        <f t="shared" si="130"/>
        <v>49.55</v>
      </c>
      <c r="W954" s="744"/>
      <c r="AE954" s="283">
        <f t="shared" si="132"/>
        <v>0</v>
      </c>
    </row>
    <row r="955" spans="6:33" ht="24" customHeight="1">
      <c r="F955" s="783">
        <v>1.823</v>
      </c>
      <c r="G955" s="283" t="s">
        <v>609</v>
      </c>
      <c r="H955" s="374" t="s">
        <v>447</v>
      </c>
      <c r="I955" s="283">
        <f>C31</f>
        <v>1537</v>
      </c>
      <c r="J955" s="374" t="s">
        <v>609</v>
      </c>
      <c r="K955" s="283">
        <f t="shared" ref="K955:K962" si="133">(F955*I955)</f>
        <v>2801.95</v>
      </c>
      <c r="Q955" s="374"/>
      <c r="R955" s="748" t="s">
        <v>1586</v>
      </c>
      <c r="W955" s="744"/>
      <c r="AE955" s="283">
        <f t="shared" si="132"/>
        <v>0</v>
      </c>
    </row>
    <row r="956" spans="6:33" ht="24" customHeight="1">
      <c r="F956" s="283">
        <v>1</v>
      </c>
      <c r="G956" s="283" t="s">
        <v>769</v>
      </c>
      <c r="H956" s="374" t="s">
        <v>6025</v>
      </c>
      <c r="I956" s="283">
        <f>C599</f>
        <v>57.65</v>
      </c>
      <c r="J956" s="374" t="s">
        <v>868</v>
      </c>
      <c r="K956" s="283">
        <f t="shared" si="133"/>
        <v>57.65</v>
      </c>
      <c r="O956" s="374" t="s">
        <v>1468</v>
      </c>
      <c r="Q956" s="374"/>
      <c r="R956" s="283">
        <f>SUM(R944:R954)</f>
        <v>5480.78</v>
      </c>
      <c r="W956" s="744"/>
      <c r="AE956" s="283">
        <f t="shared" si="132"/>
        <v>0</v>
      </c>
    </row>
    <row r="957" spans="6:33" ht="24" customHeight="1">
      <c r="F957" s="283">
        <v>3</v>
      </c>
      <c r="G957" s="283" t="s">
        <v>868</v>
      </c>
      <c r="H957" s="374" t="s">
        <v>6026</v>
      </c>
      <c r="I957" s="283">
        <f>C280</f>
        <v>89.6</v>
      </c>
      <c r="J957" s="374" t="s">
        <v>868</v>
      </c>
      <c r="K957" s="283">
        <f t="shared" si="133"/>
        <v>268.8</v>
      </c>
      <c r="Q957" s="374"/>
      <c r="R957" s="748" t="s">
        <v>1586</v>
      </c>
      <c r="W957" s="744"/>
      <c r="AE957" s="283">
        <f t="shared" si="132"/>
        <v>0</v>
      </c>
    </row>
    <row r="958" spans="6:33" ht="24" customHeight="1">
      <c r="F958" s="283">
        <v>2</v>
      </c>
      <c r="G958" s="283" t="s">
        <v>868</v>
      </c>
      <c r="H958" s="374" t="s">
        <v>6027</v>
      </c>
      <c r="I958" s="283">
        <f>C285</f>
        <v>64.8</v>
      </c>
      <c r="J958" s="374" t="s">
        <v>868</v>
      </c>
      <c r="K958" s="283">
        <f t="shared" si="133"/>
        <v>129.6</v>
      </c>
      <c r="O958" s="757" t="s">
        <v>552</v>
      </c>
      <c r="Q958" s="374"/>
      <c r="R958" s="751">
        <f>R956/M948</f>
        <v>3006.46</v>
      </c>
      <c r="W958" s="744"/>
      <c r="AE958" s="283">
        <f t="shared" si="132"/>
        <v>0</v>
      </c>
    </row>
    <row r="959" spans="6:33" ht="24" customHeight="1">
      <c r="F959" s="283">
        <v>1</v>
      </c>
      <c r="G959" s="283" t="s">
        <v>868</v>
      </c>
      <c r="H959" s="374" t="s">
        <v>6028</v>
      </c>
      <c r="I959" s="283">
        <f>C287</f>
        <v>181</v>
      </c>
      <c r="J959" s="374" t="s">
        <v>868</v>
      </c>
      <c r="K959" s="283">
        <f t="shared" si="133"/>
        <v>181</v>
      </c>
      <c r="M959" s="374" t="s">
        <v>975</v>
      </c>
      <c r="Q959" s="374"/>
      <c r="W959" s="744"/>
      <c r="AE959" s="283">
        <f t="shared" si="132"/>
        <v>0</v>
      </c>
    </row>
    <row r="960" spans="6:33" ht="24" customHeight="1">
      <c r="F960" s="283">
        <v>1</v>
      </c>
      <c r="G960" s="283" t="s">
        <v>868</v>
      </c>
      <c r="H960" s="374" t="s">
        <v>1467</v>
      </c>
      <c r="I960" s="283">
        <f>C289</f>
        <v>7.3</v>
      </c>
      <c r="J960" s="374" t="s">
        <v>868</v>
      </c>
      <c r="K960" s="283">
        <f t="shared" si="133"/>
        <v>7.3</v>
      </c>
      <c r="Q960" s="374"/>
      <c r="R960" s="748" t="s">
        <v>2055</v>
      </c>
      <c r="W960" s="744"/>
      <c r="AE960" s="283" t="str">
        <f t="shared" si="132"/>
        <v>|</v>
      </c>
      <c r="AG960" s="374" t="s">
        <v>2259</v>
      </c>
    </row>
    <row r="961" spans="6:33" ht="24" customHeight="1">
      <c r="F961" s="283">
        <v>1</v>
      </c>
      <c r="G961" s="283" t="s">
        <v>868</v>
      </c>
      <c r="H961" s="374" t="s">
        <v>6029</v>
      </c>
      <c r="I961" s="283">
        <f>D599</f>
        <v>49.55</v>
      </c>
      <c r="J961" s="374" t="s">
        <v>868</v>
      </c>
      <c r="K961" s="283">
        <f t="shared" si="133"/>
        <v>49.55</v>
      </c>
      <c r="W961" s="744"/>
      <c r="AE961" s="283" t="str">
        <f t="shared" si="132"/>
        <v>|</v>
      </c>
      <c r="AG961" s="374" t="s">
        <v>2259</v>
      </c>
    </row>
    <row r="962" spans="6:33" ht="24" customHeight="1">
      <c r="F962" s="283">
        <v>64</v>
      </c>
      <c r="G962" s="283" t="s">
        <v>1030</v>
      </c>
      <c r="H962" s="374" t="s">
        <v>5867</v>
      </c>
      <c r="I962" s="283">
        <v>2.41</v>
      </c>
      <c r="J962" s="374" t="s">
        <v>158</v>
      </c>
      <c r="K962" s="283">
        <f t="shared" si="133"/>
        <v>154.24</v>
      </c>
      <c r="W962" s="744"/>
      <c r="AE962" s="283" t="str">
        <f t="shared" si="132"/>
        <v>|</v>
      </c>
      <c r="AG962" s="374" t="s">
        <v>2259</v>
      </c>
    </row>
    <row r="963" spans="6:33" ht="24" customHeight="1">
      <c r="H963" s="374" t="s">
        <v>1468</v>
      </c>
      <c r="K963" s="283">
        <f>SUM(K951:K962)</f>
        <v>9171.25</v>
      </c>
      <c r="W963" s="744"/>
      <c r="AE963" s="283" t="str">
        <f t="shared" si="132"/>
        <v>|</v>
      </c>
      <c r="AG963" s="374" t="s">
        <v>2259</v>
      </c>
    </row>
    <row r="964" spans="6:33" ht="24" customHeight="1">
      <c r="K964" s="748" t="s">
        <v>1586</v>
      </c>
      <c r="W964" s="744"/>
      <c r="AE964" s="283" t="str">
        <f t="shared" si="132"/>
        <v>|</v>
      </c>
      <c r="AG964" s="374" t="s">
        <v>2259</v>
      </c>
    </row>
    <row r="965" spans="6:33" ht="24" customHeight="1">
      <c r="H965" s="757" t="s">
        <v>552</v>
      </c>
      <c r="K965" s="751">
        <f>K963/F955</f>
        <v>5030.8599999999997</v>
      </c>
      <c r="W965" s="744"/>
      <c r="AE965" s="283" t="str">
        <f t="shared" si="132"/>
        <v>|</v>
      </c>
      <c r="AG965" s="374" t="s">
        <v>2259</v>
      </c>
    </row>
    <row r="966" spans="6:33" ht="24" customHeight="1">
      <c r="F966" s="374" t="s">
        <v>975</v>
      </c>
      <c r="W966" s="744"/>
      <c r="AE966" s="283" t="str">
        <f t="shared" si="132"/>
        <v>|</v>
      </c>
      <c r="AG966" s="374" t="s">
        <v>2259</v>
      </c>
    </row>
    <row r="967" spans="6:33" ht="24" customHeight="1">
      <c r="K967" s="748" t="s">
        <v>2055</v>
      </c>
      <c r="W967" s="744"/>
      <c r="AE967" s="283" t="str">
        <f t="shared" si="132"/>
        <v>|</v>
      </c>
      <c r="AG967" s="374" t="s">
        <v>2259</v>
      </c>
    </row>
    <row r="968" spans="6:33" ht="24" customHeight="1">
      <c r="W968" s="744"/>
      <c r="AE968" s="283" t="str">
        <f t="shared" si="132"/>
        <v>|</v>
      </c>
      <c r="AG968" s="374" t="s">
        <v>2259</v>
      </c>
    </row>
    <row r="969" spans="6:33" ht="24" customHeight="1">
      <c r="W969" s="744"/>
      <c r="AE969" s="283" t="str">
        <f t="shared" si="132"/>
        <v>|</v>
      </c>
      <c r="AG969" s="374" t="s">
        <v>2259</v>
      </c>
    </row>
    <row r="970" spans="6:33" ht="24" customHeight="1">
      <c r="F970" s="744" t="s">
        <v>1338</v>
      </c>
      <c r="G970" s="283" t="s">
        <v>2251</v>
      </c>
      <c r="H970" s="374" t="s">
        <v>255</v>
      </c>
      <c r="W970" s="744"/>
      <c r="AE970" s="283" t="str">
        <f t="shared" si="132"/>
        <v>|</v>
      </c>
      <c r="AG970" s="374" t="s">
        <v>2259</v>
      </c>
    </row>
    <row r="971" spans="6:33" ht="24" customHeight="1">
      <c r="H971" s="374" t="s">
        <v>256</v>
      </c>
      <c r="W971" s="744"/>
      <c r="AE971" s="283" t="str">
        <f t="shared" si="132"/>
        <v>|</v>
      </c>
      <c r="AG971" s="374" t="s">
        <v>2259</v>
      </c>
    </row>
    <row r="972" spans="6:33" ht="24" customHeight="1">
      <c r="H972" s="374" t="s">
        <v>1471</v>
      </c>
      <c r="W972" s="744"/>
      <c r="AE972" s="283" t="str">
        <f t="shared" si="132"/>
        <v>|</v>
      </c>
      <c r="AG972" s="374" t="s">
        <v>2259</v>
      </c>
    </row>
    <row r="973" spans="6:33" ht="24" customHeight="1">
      <c r="H973" s="748" t="s">
        <v>1586</v>
      </c>
      <c r="W973" s="744"/>
      <c r="AE973" s="283" t="str">
        <f t="shared" si="132"/>
        <v>|</v>
      </c>
      <c r="AG973" s="374" t="s">
        <v>2259</v>
      </c>
    </row>
    <row r="974" spans="6:33" ht="24" customHeight="1">
      <c r="W974" s="744"/>
      <c r="AE974" s="283" t="str">
        <f t="shared" si="132"/>
        <v>|</v>
      </c>
      <c r="AG974" s="374" t="s">
        <v>2259</v>
      </c>
    </row>
    <row r="975" spans="6:33" ht="24" customHeight="1">
      <c r="H975" s="374" t="s">
        <v>644</v>
      </c>
      <c r="W975" s="744"/>
      <c r="AE975" s="283">
        <f t="shared" si="132"/>
        <v>0</v>
      </c>
    </row>
    <row r="976" spans="6:33" ht="24" customHeight="1">
      <c r="H976" s="374" t="s">
        <v>645</v>
      </c>
      <c r="W976" s="744"/>
      <c r="AE976" s="283" t="str">
        <f t="shared" si="132"/>
        <v>|</v>
      </c>
      <c r="AG976" s="374" t="s">
        <v>2259</v>
      </c>
    </row>
    <row r="977" spans="6:33" ht="24" customHeight="1">
      <c r="J977" s="374" t="s">
        <v>1586</v>
      </c>
      <c r="W977" s="744"/>
      <c r="AE977" s="283">
        <f t="shared" si="132"/>
        <v>0</v>
      </c>
    </row>
    <row r="978" spans="6:33" ht="24" customHeight="1">
      <c r="H978" s="374" t="s">
        <v>646</v>
      </c>
      <c r="W978" s="744"/>
      <c r="AE978" s="283">
        <f t="shared" si="132"/>
        <v>0</v>
      </c>
    </row>
    <row r="979" spans="6:33" ht="24" customHeight="1">
      <c r="H979" s="374" t="s">
        <v>647</v>
      </c>
      <c r="K979" s="782">
        <v>2.1999999999999999E-2</v>
      </c>
      <c r="W979" s="744"/>
      <c r="AE979" s="283" t="str">
        <f t="shared" si="132"/>
        <v>|</v>
      </c>
      <c r="AG979" s="374" t="s">
        <v>2259</v>
      </c>
    </row>
    <row r="980" spans="6:33" ht="24" customHeight="1">
      <c r="J980" s="374" t="s">
        <v>975</v>
      </c>
      <c r="K980" s="748" t="s">
        <v>1586</v>
      </c>
      <c r="W980" s="744"/>
      <c r="AE980" s="283" t="str">
        <f t="shared" si="132"/>
        <v>|</v>
      </c>
      <c r="AG980" s="374" t="s">
        <v>2259</v>
      </c>
    </row>
    <row r="981" spans="6:33" ht="24" customHeight="1">
      <c r="H981" s="374" t="s">
        <v>859</v>
      </c>
      <c r="J981" s="796" t="s">
        <v>975</v>
      </c>
      <c r="K981" s="782">
        <v>1.3100000000000001E-2</v>
      </c>
      <c r="W981" s="744"/>
      <c r="AE981" s="283" t="str">
        <f t="shared" si="132"/>
        <v>|</v>
      </c>
      <c r="AG981" s="374" t="s">
        <v>2259</v>
      </c>
    </row>
    <row r="982" spans="6:33" ht="24" customHeight="1">
      <c r="H982" s="374" t="s">
        <v>2152</v>
      </c>
      <c r="J982" s="374" t="s">
        <v>975</v>
      </c>
      <c r="K982" s="782">
        <v>3.3999999999999998E-3</v>
      </c>
      <c r="W982" s="744"/>
      <c r="AE982" s="283" t="str">
        <f t="shared" si="132"/>
        <v>|</v>
      </c>
      <c r="AG982" s="374" t="s">
        <v>2259</v>
      </c>
    </row>
    <row r="983" spans="6:33" ht="24" customHeight="1">
      <c r="K983" s="748" t="s">
        <v>1586</v>
      </c>
      <c r="W983" s="744"/>
      <c r="AE983" s="283">
        <f t="shared" si="132"/>
        <v>0</v>
      </c>
    </row>
    <row r="984" spans="6:33" ht="24" customHeight="1">
      <c r="K984" s="782">
        <v>1.6500000000000001E-2</v>
      </c>
      <c r="W984" s="744"/>
      <c r="AE984" s="283">
        <f t="shared" si="132"/>
        <v>0</v>
      </c>
    </row>
    <row r="985" spans="6:33" ht="24" customHeight="1">
      <c r="K985" s="748" t="s">
        <v>1586</v>
      </c>
      <c r="O985" s="283" t="s">
        <v>4381</v>
      </c>
      <c r="W985" s="744"/>
      <c r="AE985" s="283">
        <f t="shared" si="132"/>
        <v>0</v>
      </c>
    </row>
    <row r="986" spans="6:33" ht="24" customHeight="1">
      <c r="F986" s="782">
        <v>1.15E-2</v>
      </c>
      <c r="G986" s="283" t="s">
        <v>869</v>
      </c>
      <c r="H986" s="374" t="s">
        <v>308</v>
      </c>
      <c r="I986" s="283">
        <f>C89</f>
        <v>111600</v>
      </c>
      <c r="J986" s="374" t="s">
        <v>869</v>
      </c>
      <c r="K986" s="283">
        <f>(F986*I986)</f>
        <v>1283.4000000000001</v>
      </c>
      <c r="M986" s="744" t="s">
        <v>1473</v>
      </c>
      <c r="O986" s="374" t="s">
        <v>3729</v>
      </c>
      <c r="Q986" s="374"/>
      <c r="R986" s="374" t="s">
        <v>975</v>
      </c>
      <c r="W986" s="744"/>
      <c r="AE986" s="283">
        <f t="shared" si="132"/>
        <v>0</v>
      </c>
    </row>
    <row r="987" spans="6:33" ht="24" customHeight="1">
      <c r="F987" s="782">
        <v>2.1999999999999999E-2</v>
      </c>
      <c r="G987" s="283" t="s">
        <v>869</v>
      </c>
      <c r="H987" s="374" t="s">
        <v>309</v>
      </c>
      <c r="I987" s="283">
        <f>C90</f>
        <v>99400</v>
      </c>
      <c r="J987" s="374" t="s">
        <v>869</v>
      </c>
      <c r="K987" s="283">
        <f>(F987*I987)</f>
        <v>2186.8000000000002</v>
      </c>
      <c r="O987" s="748" t="s">
        <v>1586</v>
      </c>
      <c r="Q987" s="374"/>
      <c r="W987" s="744"/>
      <c r="AE987" s="283">
        <f t="shared" si="132"/>
        <v>0</v>
      </c>
    </row>
    <row r="988" spans="6:33" ht="24" customHeight="1">
      <c r="F988" s="782">
        <v>1.6500000000000001E-2</v>
      </c>
      <c r="G988" s="283" t="s">
        <v>869</v>
      </c>
      <c r="H988" s="374" t="s">
        <v>310</v>
      </c>
      <c r="I988" s="283">
        <f>C91</f>
        <v>95000</v>
      </c>
      <c r="J988" s="374" t="s">
        <v>869</v>
      </c>
      <c r="K988" s="283">
        <f>(F988*I988)</f>
        <v>1567.5</v>
      </c>
      <c r="L988" s="283" t="s">
        <v>5464</v>
      </c>
      <c r="M988" s="797">
        <v>1.153E-2</v>
      </c>
      <c r="N988" s="283" t="s">
        <v>869</v>
      </c>
      <c r="O988" s="374" t="s">
        <v>692</v>
      </c>
      <c r="P988" s="283">
        <f t="shared" ref="P988:P998" si="134">I1054</f>
        <v>111600</v>
      </c>
      <c r="Q988" s="374" t="s">
        <v>869</v>
      </c>
      <c r="R988" s="283">
        <f t="shared" ref="R988:R998" si="135">(M988*P988)</f>
        <v>1286.75</v>
      </c>
      <c r="W988" s="744"/>
      <c r="AE988" s="283">
        <f t="shared" si="132"/>
        <v>0</v>
      </c>
    </row>
    <row r="989" spans="6:33" ht="24" customHeight="1">
      <c r="F989" s="782"/>
      <c r="H989" s="374" t="s">
        <v>446</v>
      </c>
      <c r="I989" s="374" t="s">
        <v>975</v>
      </c>
      <c r="K989" s="374" t="s">
        <v>975</v>
      </c>
      <c r="M989" s="797">
        <v>1.013E-2</v>
      </c>
      <c r="N989" s="283" t="s">
        <v>869</v>
      </c>
      <c r="O989" s="374" t="s">
        <v>693</v>
      </c>
      <c r="P989" s="283">
        <f t="shared" si="134"/>
        <v>99400</v>
      </c>
      <c r="Q989" s="374" t="s">
        <v>869</v>
      </c>
      <c r="R989" s="283">
        <f t="shared" si="135"/>
        <v>1006.92</v>
      </c>
      <c r="W989" s="744"/>
      <c r="AE989" s="283">
        <f t="shared" si="132"/>
        <v>0</v>
      </c>
    </row>
    <row r="990" spans="6:33" ht="24" customHeight="1">
      <c r="F990" s="782">
        <v>1.64</v>
      </c>
      <c r="G990" s="283" t="s">
        <v>609</v>
      </c>
      <c r="H990" s="374" t="s">
        <v>447</v>
      </c>
      <c r="I990" s="283">
        <f>C31</f>
        <v>1537</v>
      </c>
      <c r="J990" s="374" t="s">
        <v>609</v>
      </c>
      <c r="K990" s="283">
        <f t="shared" ref="K990:K997" si="136">(F990*I990)</f>
        <v>2520.6799999999998</v>
      </c>
      <c r="M990" s="797">
        <v>0.77780000000000005</v>
      </c>
      <c r="N990" s="283" t="s">
        <v>609</v>
      </c>
      <c r="O990" s="374" t="s">
        <v>2091</v>
      </c>
      <c r="P990" s="283">
        <f t="shared" si="134"/>
        <v>387.4</v>
      </c>
      <c r="Q990" s="374" t="s">
        <v>609</v>
      </c>
      <c r="R990" s="283">
        <f t="shared" si="135"/>
        <v>301.32</v>
      </c>
      <c r="W990" s="744"/>
      <c r="AE990" s="283">
        <f t="shared" si="132"/>
        <v>0</v>
      </c>
    </row>
    <row r="991" spans="6:33" ht="24" customHeight="1">
      <c r="F991" s="283">
        <v>1</v>
      </c>
      <c r="G991" s="283" t="s">
        <v>769</v>
      </c>
      <c r="H991" s="374" t="s">
        <v>1136</v>
      </c>
      <c r="I991" s="283">
        <f>C599</f>
        <v>57.65</v>
      </c>
      <c r="J991" s="374" t="s">
        <v>868</v>
      </c>
      <c r="K991" s="283">
        <f t="shared" si="136"/>
        <v>57.65</v>
      </c>
      <c r="M991" s="797">
        <v>1.23</v>
      </c>
      <c r="N991" s="283" t="s">
        <v>609</v>
      </c>
      <c r="O991" s="374" t="s">
        <v>2092</v>
      </c>
      <c r="P991" s="283">
        <f t="shared" si="134"/>
        <v>1281</v>
      </c>
      <c r="Q991" s="374" t="s">
        <v>609</v>
      </c>
      <c r="R991" s="283">
        <f t="shared" si="135"/>
        <v>1575.63</v>
      </c>
      <c r="W991" s="744"/>
      <c r="AE991" s="283">
        <f t="shared" si="132"/>
        <v>0</v>
      </c>
    </row>
    <row r="992" spans="6:33" ht="24" customHeight="1">
      <c r="F992" s="283">
        <v>3</v>
      </c>
      <c r="G992" s="283" t="s">
        <v>868</v>
      </c>
      <c r="H992" s="374" t="str">
        <f>H957</f>
        <v xml:space="preserve">  5"BUTT HINGS (p-40)</v>
      </c>
      <c r="I992" s="283">
        <f>C280</f>
        <v>89.6</v>
      </c>
      <c r="J992" s="374" t="s">
        <v>868</v>
      </c>
      <c r="K992" s="283">
        <f t="shared" si="136"/>
        <v>268.8</v>
      </c>
      <c r="M992" s="283">
        <v>2</v>
      </c>
      <c r="N992" s="283" t="s">
        <v>868</v>
      </c>
      <c r="O992" s="374" t="s">
        <v>2093</v>
      </c>
      <c r="P992" s="283">
        <f t="shared" si="134"/>
        <v>64.8</v>
      </c>
      <c r="Q992" s="374" t="s">
        <v>868</v>
      </c>
      <c r="R992" s="283">
        <f t="shared" si="135"/>
        <v>129.6</v>
      </c>
      <c r="W992" s="744"/>
      <c r="AE992" s="283">
        <f t="shared" si="132"/>
        <v>0</v>
      </c>
    </row>
    <row r="993" spans="6:33" ht="24" customHeight="1">
      <c r="F993" s="283">
        <v>2</v>
      </c>
      <c r="G993" s="283" t="s">
        <v>868</v>
      </c>
      <c r="H993" s="374" t="str">
        <f t="shared" ref="H993:H997" si="137">H958</f>
        <v xml:space="preserve"> 6"X1/2"TOWER BOLT (p-40)</v>
      </c>
      <c r="I993" s="283">
        <f>C285</f>
        <v>64.8</v>
      </c>
      <c r="J993" s="374" t="s">
        <v>868</v>
      </c>
      <c r="K993" s="283">
        <f t="shared" si="136"/>
        <v>129.6</v>
      </c>
      <c r="M993" s="283">
        <v>3</v>
      </c>
      <c r="N993" s="283" t="s">
        <v>868</v>
      </c>
      <c r="O993" s="374" t="s">
        <v>1517</v>
      </c>
      <c r="P993" s="283">
        <f t="shared" si="134"/>
        <v>89.6</v>
      </c>
      <c r="Q993" s="374" t="s">
        <v>868</v>
      </c>
      <c r="R993" s="283">
        <f t="shared" si="135"/>
        <v>268.8</v>
      </c>
      <c r="W993" s="744"/>
      <c r="AE993" s="283">
        <f t="shared" si="132"/>
        <v>0</v>
      </c>
    </row>
    <row r="994" spans="6:33" ht="24" customHeight="1">
      <c r="F994" s="283">
        <v>1</v>
      </c>
      <c r="G994" s="283" t="s">
        <v>868</v>
      </c>
      <c r="H994" s="374" t="str">
        <f t="shared" si="137"/>
        <v>10"X5/8"ALDROP (p-41)</v>
      </c>
      <c r="I994" s="283">
        <f>C287</f>
        <v>181</v>
      </c>
      <c r="J994" s="374" t="s">
        <v>868</v>
      </c>
      <c r="K994" s="283">
        <f t="shared" si="136"/>
        <v>181</v>
      </c>
      <c r="M994" s="283">
        <v>1</v>
      </c>
      <c r="N994" s="283" t="s">
        <v>868</v>
      </c>
      <c r="O994" s="374" t="s">
        <v>1979</v>
      </c>
      <c r="P994" s="283">
        <f t="shared" si="134"/>
        <v>181</v>
      </c>
      <c r="Q994" s="374" t="s">
        <v>868</v>
      </c>
      <c r="R994" s="283">
        <f t="shared" si="135"/>
        <v>181</v>
      </c>
      <c r="W994" s="744"/>
      <c r="AE994" s="283">
        <f t="shared" si="132"/>
        <v>0</v>
      </c>
    </row>
    <row r="995" spans="6:33" ht="24" customHeight="1">
      <c r="F995" s="283">
        <v>1</v>
      </c>
      <c r="G995" s="283" t="s">
        <v>868</v>
      </c>
      <c r="H995" s="374" t="str">
        <f t="shared" si="137"/>
        <v>NYLONBUSH</v>
      </c>
      <c r="I995" s="283">
        <f>C289</f>
        <v>7.3</v>
      </c>
      <c r="J995" s="374" t="s">
        <v>868</v>
      </c>
      <c r="K995" s="283">
        <f t="shared" si="136"/>
        <v>7.3</v>
      </c>
      <c r="M995" s="283">
        <v>1</v>
      </c>
      <c r="N995" s="283" t="s">
        <v>868</v>
      </c>
      <c r="O995" s="374" t="s">
        <v>1980</v>
      </c>
      <c r="P995" s="283">
        <f t="shared" si="134"/>
        <v>7.3</v>
      </c>
      <c r="Q995" s="374" t="s">
        <v>868</v>
      </c>
      <c r="R995" s="283">
        <f t="shared" si="135"/>
        <v>7.3</v>
      </c>
      <c r="W995" s="744"/>
      <c r="AE995" s="283" t="str">
        <f t="shared" si="132"/>
        <v>|</v>
      </c>
      <c r="AG995" s="374" t="s">
        <v>2259</v>
      </c>
    </row>
    <row r="996" spans="6:33" ht="24" customHeight="1">
      <c r="F996" s="283">
        <v>1</v>
      </c>
      <c r="G996" s="283" t="s">
        <v>868</v>
      </c>
      <c r="H996" s="374" t="str">
        <f t="shared" si="137"/>
        <v>DOOR STOPPER (p-41)</v>
      </c>
      <c r="I996" s="283">
        <f>D599</f>
        <v>49.55</v>
      </c>
      <c r="J996" s="374" t="s">
        <v>868</v>
      </c>
      <c r="K996" s="283">
        <f t="shared" si="136"/>
        <v>49.55</v>
      </c>
      <c r="M996" s="283">
        <v>1</v>
      </c>
      <c r="N996" s="283" t="s">
        <v>868</v>
      </c>
      <c r="O996" s="374" t="s">
        <v>1137</v>
      </c>
      <c r="P996" s="283">
        <f t="shared" si="134"/>
        <v>57.65</v>
      </c>
      <c r="Q996" s="374" t="s">
        <v>868</v>
      </c>
      <c r="R996" s="283">
        <f t="shared" si="135"/>
        <v>57.65</v>
      </c>
      <c r="W996" s="744"/>
      <c r="AE996" s="283" t="str">
        <f t="shared" si="132"/>
        <v>|</v>
      </c>
      <c r="AG996" s="374" t="s">
        <v>2259</v>
      </c>
    </row>
    <row r="997" spans="6:33" ht="24" customHeight="1">
      <c r="F997" s="283">
        <v>10</v>
      </c>
      <c r="G997" s="283" t="s">
        <v>1030</v>
      </c>
      <c r="H997" s="374" t="str">
        <f t="shared" si="137"/>
        <v>Brass screw p-55 it-232</v>
      </c>
      <c r="I997" s="283">
        <f>I962</f>
        <v>2.41</v>
      </c>
      <c r="J997" s="374" t="s">
        <v>868</v>
      </c>
      <c r="K997" s="283">
        <f t="shared" si="136"/>
        <v>24.1</v>
      </c>
      <c r="M997" s="283">
        <v>1</v>
      </c>
      <c r="N997" s="283" t="s">
        <v>868</v>
      </c>
      <c r="O997" s="374" t="s">
        <v>1982</v>
      </c>
      <c r="P997" s="283">
        <f t="shared" si="134"/>
        <v>49.55</v>
      </c>
      <c r="Q997" s="374" t="s">
        <v>868</v>
      </c>
      <c r="R997" s="283">
        <f t="shared" si="135"/>
        <v>49.55</v>
      </c>
      <c r="W997" s="744"/>
      <c r="AE997" s="283" t="str">
        <f t="shared" si="132"/>
        <v>|</v>
      </c>
      <c r="AG997" s="374" t="s">
        <v>2259</v>
      </c>
    </row>
    <row r="998" spans="6:33" ht="24" customHeight="1">
      <c r="K998" s="748" t="s">
        <v>1586</v>
      </c>
      <c r="M998" s="283">
        <v>58</v>
      </c>
      <c r="O998" s="374" t="s">
        <v>1742</v>
      </c>
      <c r="P998" s="283">
        <f t="shared" si="134"/>
        <v>2.41</v>
      </c>
      <c r="Q998" s="374"/>
      <c r="R998" s="283">
        <f t="shared" si="135"/>
        <v>139.78</v>
      </c>
      <c r="W998" s="744"/>
      <c r="AE998" s="283" t="str">
        <f t="shared" si="132"/>
        <v>|</v>
      </c>
      <c r="AG998" s="374" t="s">
        <v>2259</v>
      </c>
    </row>
    <row r="999" spans="6:33" ht="24" customHeight="1">
      <c r="H999" s="374" t="s">
        <v>2153</v>
      </c>
      <c r="K999" s="283">
        <f>SUM(K986:K997)</f>
        <v>8276.3799999999992</v>
      </c>
      <c r="O999" s="744" t="s">
        <v>1983</v>
      </c>
      <c r="Q999" s="374"/>
      <c r="R999" s="283">
        <f>SUM(R988:R998)</f>
        <v>5004.3</v>
      </c>
      <c r="W999" s="744"/>
      <c r="AE999" s="283" t="str">
        <f t="shared" si="132"/>
        <v>|</v>
      </c>
      <c r="AG999" s="374" t="s">
        <v>2259</v>
      </c>
    </row>
    <row r="1000" spans="6:33" ht="24" customHeight="1">
      <c r="K1000" s="748" t="s">
        <v>1586</v>
      </c>
      <c r="N1000" s="283" t="s">
        <v>975</v>
      </c>
      <c r="Q1000" s="374"/>
      <c r="R1000" s="748" t="s">
        <v>1586</v>
      </c>
      <c r="W1000" s="744"/>
      <c r="AE1000" s="283" t="str">
        <f t="shared" si="132"/>
        <v>|</v>
      </c>
      <c r="AG1000" s="374" t="s">
        <v>2259</v>
      </c>
    </row>
    <row r="1001" spans="6:33" ht="24" customHeight="1">
      <c r="H1001" s="757" t="s">
        <v>5463</v>
      </c>
      <c r="K1001" s="751">
        <f>K999/F990</f>
        <v>5046.57</v>
      </c>
      <c r="O1001" s="757" t="s">
        <v>552</v>
      </c>
      <c r="Q1001" s="374"/>
      <c r="R1001" s="751">
        <f>R999/M991</f>
        <v>4068.54</v>
      </c>
      <c r="W1001" s="744"/>
      <c r="AE1001" s="283" t="str">
        <f t="shared" si="132"/>
        <v>|</v>
      </c>
      <c r="AG1001" s="374" t="s">
        <v>2259</v>
      </c>
    </row>
    <row r="1002" spans="6:33" ht="24" customHeight="1">
      <c r="K1002" s="748" t="s">
        <v>2055</v>
      </c>
      <c r="Q1002" s="374"/>
      <c r="R1002" s="748" t="s">
        <v>2055</v>
      </c>
      <c r="W1002" s="744"/>
      <c r="AE1002" s="283" t="str">
        <f t="shared" si="132"/>
        <v>|::</v>
      </c>
      <c r="AG1002" s="374" t="s">
        <v>321</v>
      </c>
    </row>
    <row r="1003" spans="6:33" ht="24" customHeight="1">
      <c r="F1003" s="744" t="s">
        <v>1337</v>
      </c>
      <c r="G1003" s="283" t="s">
        <v>2251</v>
      </c>
      <c r="H1003" s="374" t="s">
        <v>255</v>
      </c>
      <c r="W1003" s="744"/>
      <c r="AE1003" s="283">
        <f t="shared" si="132"/>
        <v>0</v>
      </c>
    </row>
    <row r="1004" spans="6:33" ht="24" customHeight="1">
      <c r="H1004" s="374" t="s">
        <v>256</v>
      </c>
      <c r="W1004" s="744"/>
      <c r="AE1004" s="283">
        <f t="shared" si="132"/>
        <v>0</v>
      </c>
    </row>
    <row r="1005" spans="6:33" ht="24" customHeight="1">
      <c r="H1005" s="374" t="s">
        <v>1472</v>
      </c>
      <c r="W1005" s="744"/>
      <c r="AE1005" s="283" t="str">
        <f t="shared" si="132"/>
        <v>|</v>
      </c>
      <c r="AG1005" s="374" t="s">
        <v>2259</v>
      </c>
    </row>
    <row r="1006" spans="6:33" ht="24" customHeight="1">
      <c r="H1006" s="748" t="s">
        <v>1586</v>
      </c>
      <c r="W1006" s="744"/>
      <c r="AG1006" s="374"/>
    </row>
    <row r="1007" spans="6:33" ht="24" customHeight="1">
      <c r="H1007" s="374" t="s">
        <v>2154</v>
      </c>
      <c r="W1007" s="744"/>
      <c r="AE1007" s="283" t="str">
        <f t="shared" si="132"/>
        <v>|</v>
      </c>
      <c r="AG1007" s="374" t="s">
        <v>2259</v>
      </c>
    </row>
    <row r="1008" spans="6:33" ht="24" customHeight="1">
      <c r="H1008" s="374" t="s">
        <v>90</v>
      </c>
      <c r="W1008" s="744"/>
      <c r="AE1008" s="283" t="str">
        <f t="shared" si="132"/>
        <v>|</v>
      </c>
      <c r="AG1008" s="374" t="s">
        <v>2259</v>
      </c>
    </row>
    <row r="1009" spans="6:33" ht="24" customHeight="1">
      <c r="J1009" s="374" t="s">
        <v>1586</v>
      </c>
      <c r="W1009" s="744"/>
      <c r="AE1009" s="283" t="str">
        <f t="shared" si="132"/>
        <v>|</v>
      </c>
      <c r="AG1009" s="374" t="s">
        <v>2259</v>
      </c>
    </row>
    <row r="1010" spans="6:33" ht="24" customHeight="1">
      <c r="H1010" s="374" t="s">
        <v>2155</v>
      </c>
      <c r="W1010" s="744"/>
      <c r="AE1010" s="283" t="str">
        <f t="shared" si="132"/>
        <v>|</v>
      </c>
      <c r="AG1010" s="374" t="s">
        <v>2259</v>
      </c>
    </row>
    <row r="1011" spans="6:33" ht="24" customHeight="1">
      <c r="H1011" s="374" t="s">
        <v>459</v>
      </c>
      <c r="K1011" s="782">
        <v>1.1900000000000001E-2</v>
      </c>
      <c r="W1011" s="744"/>
      <c r="AE1011" s="283" t="str">
        <f t="shared" si="132"/>
        <v>|</v>
      </c>
      <c r="AG1011" s="374" t="s">
        <v>2259</v>
      </c>
    </row>
    <row r="1012" spans="6:33" ht="24" customHeight="1">
      <c r="J1012" s="374" t="s">
        <v>975</v>
      </c>
      <c r="K1012" s="748" t="s">
        <v>1586</v>
      </c>
      <c r="W1012" s="744"/>
      <c r="AE1012" s="283">
        <f t="shared" si="132"/>
        <v>0</v>
      </c>
    </row>
    <row r="1013" spans="6:33" ht="24" customHeight="1">
      <c r="H1013" s="374" t="s">
        <v>460</v>
      </c>
      <c r="J1013" s="796" t="s">
        <v>975</v>
      </c>
      <c r="K1013" s="782">
        <v>1.18E-2</v>
      </c>
      <c r="W1013" s="744"/>
      <c r="AE1013" s="283">
        <f t="shared" si="132"/>
        <v>0</v>
      </c>
    </row>
    <row r="1014" spans="6:33" ht="24" customHeight="1">
      <c r="H1014" s="374" t="s">
        <v>249</v>
      </c>
      <c r="J1014" s="374" t="s">
        <v>975</v>
      </c>
      <c r="K1014" s="798" t="s">
        <v>1586</v>
      </c>
      <c r="W1014" s="744"/>
      <c r="AE1014" s="283">
        <f t="shared" si="132"/>
        <v>0</v>
      </c>
    </row>
    <row r="1015" spans="6:33" ht="24" customHeight="1">
      <c r="W1015" s="744"/>
      <c r="AE1015" s="283">
        <f t="shared" ref="AE1015:AE1035" si="138">AG1015</f>
        <v>0</v>
      </c>
    </row>
    <row r="1016" spans="6:33" ht="24" customHeight="1">
      <c r="F1016" s="782">
        <v>1.14E-2</v>
      </c>
      <c r="G1016" s="283" t="s">
        <v>869</v>
      </c>
      <c r="H1016" s="374" t="s">
        <v>308</v>
      </c>
      <c r="I1016" s="283">
        <f>C89</f>
        <v>111600</v>
      </c>
      <c r="J1016" s="374" t="s">
        <v>869</v>
      </c>
      <c r="K1016" s="283">
        <f>(F1016*I1016)</f>
        <v>1272.24</v>
      </c>
      <c r="W1016" s="744"/>
      <c r="AE1016" s="283">
        <f t="shared" si="138"/>
        <v>0</v>
      </c>
    </row>
    <row r="1017" spans="6:33" ht="24" customHeight="1">
      <c r="F1017" s="782">
        <v>1.1900000000000001E-2</v>
      </c>
      <c r="G1017" s="283" t="s">
        <v>869</v>
      </c>
      <c r="H1017" s="374" t="s">
        <v>309</v>
      </c>
      <c r="I1017" s="283">
        <f>C90</f>
        <v>99400</v>
      </c>
      <c r="J1017" s="374" t="s">
        <v>869</v>
      </c>
      <c r="K1017" s="283">
        <f>(F1017*I1017)</f>
        <v>1182.8599999999999</v>
      </c>
      <c r="W1017" s="744"/>
      <c r="AE1017" s="283">
        <f t="shared" si="138"/>
        <v>0</v>
      </c>
    </row>
    <row r="1018" spans="6:33" ht="24" customHeight="1">
      <c r="F1018" s="782">
        <v>1.18E-2</v>
      </c>
      <c r="G1018" s="283" t="s">
        <v>869</v>
      </c>
      <c r="H1018" s="374" t="s">
        <v>310</v>
      </c>
      <c r="I1018" s="283">
        <f>C91</f>
        <v>95000</v>
      </c>
      <c r="J1018" s="374" t="s">
        <v>869</v>
      </c>
      <c r="K1018" s="283">
        <f>(F1018*I1018)</f>
        <v>1121</v>
      </c>
      <c r="W1018" s="744"/>
      <c r="AE1018" s="283">
        <f t="shared" si="138"/>
        <v>0</v>
      </c>
    </row>
    <row r="1019" spans="6:33" ht="24" customHeight="1">
      <c r="F1019" s="782"/>
      <c r="H1019" s="374" t="s">
        <v>446</v>
      </c>
      <c r="I1019" s="374" t="s">
        <v>975</v>
      </c>
      <c r="K1019" s="374" t="s">
        <v>975</v>
      </c>
      <c r="W1019" s="744"/>
      <c r="AE1019" s="283">
        <f t="shared" si="138"/>
        <v>0</v>
      </c>
    </row>
    <row r="1020" spans="6:33" ht="24" customHeight="1">
      <c r="F1020" s="782">
        <v>1.2150000000000001</v>
      </c>
      <c r="G1020" s="283" t="s">
        <v>609</v>
      </c>
      <c r="H1020" s="374" t="s">
        <v>447</v>
      </c>
      <c r="I1020" s="283">
        <f>C31</f>
        <v>1537</v>
      </c>
      <c r="J1020" s="374" t="s">
        <v>609</v>
      </c>
      <c r="K1020" s="283">
        <f t="shared" ref="K1020:K1027" si="139">(F1020*I1020)</f>
        <v>1867.46</v>
      </c>
      <c r="W1020" s="744"/>
      <c r="AE1020" s="283">
        <f t="shared" si="138"/>
        <v>0</v>
      </c>
    </row>
    <row r="1021" spans="6:33" ht="24" customHeight="1">
      <c r="F1021" s="283">
        <v>1</v>
      </c>
      <c r="G1021" s="283" t="s">
        <v>769</v>
      </c>
      <c r="H1021" s="374" t="s">
        <v>1136</v>
      </c>
      <c r="I1021" s="283">
        <f>C599</f>
        <v>57.65</v>
      </c>
      <c r="J1021" s="374" t="s">
        <v>868</v>
      </c>
      <c r="K1021" s="283">
        <f t="shared" si="139"/>
        <v>57.65</v>
      </c>
      <c r="W1021" s="744"/>
      <c r="AE1021" s="283">
        <f t="shared" si="138"/>
        <v>0</v>
      </c>
    </row>
    <row r="1022" spans="6:33" ht="24" customHeight="1">
      <c r="F1022" s="283">
        <v>3</v>
      </c>
      <c r="G1022" s="283" t="s">
        <v>868</v>
      </c>
      <c r="H1022" s="374" t="str">
        <f>H992</f>
        <v xml:space="preserve">  5"BUTT HINGS (p-40)</v>
      </c>
      <c r="I1022" s="283">
        <f>C280</f>
        <v>89.6</v>
      </c>
      <c r="J1022" s="374" t="s">
        <v>868</v>
      </c>
      <c r="K1022" s="283">
        <f t="shared" si="139"/>
        <v>268.8</v>
      </c>
      <c r="W1022" s="744"/>
      <c r="AE1022" s="283">
        <f t="shared" si="138"/>
        <v>0</v>
      </c>
    </row>
    <row r="1023" spans="6:33" ht="24" customHeight="1">
      <c r="F1023" s="283">
        <v>2</v>
      </c>
      <c r="G1023" s="283" t="s">
        <v>868</v>
      </c>
      <c r="H1023" s="374" t="str">
        <f t="shared" ref="H1023:H1027" si="140">H993</f>
        <v xml:space="preserve"> 6"X1/2"TOWER BOLT (p-40)</v>
      </c>
      <c r="I1023" s="283">
        <f>C285</f>
        <v>64.8</v>
      </c>
      <c r="J1023" s="374" t="s">
        <v>868</v>
      </c>
      <c r="K1023" s="283">
        <f t="shared" si="139"/>
        <v>129.6</v>
      </c>
      <c r="W1023" s="744"/>
      <c r="AE1023" s="283">
        <f t="shared" si="138"/>
        <v>0</v>
      </c>
    </row>
    <row r="1024" spans="6:33" ht="24" customHeight="1">
      <c r="F1024" s="283">
        <v>1</v>
      </c>
      <c r="G1024" s="283" t="s">
        <v>868</v>
      </c>
      <c r="H1024" s="374" t="str">
        <f t="shared" si="140"/>
        <v>10"X5/8"ALDROP (p-41)</v>
      </c>
      <c r="I1024" s="283">
        <f>C287</f>
        <v>181</v>
      </c>
      <c r="J1024" s="374" t="s">
        <v>868</v>
      </c>
      <c r="K1024" s="283">
        <f t="shared" si="139"/>
        <v>181</v>
      </c>
      <c r="W1024" s="744"/>
      <c r="AE1024" s="283">
        <f t="shared" si="138"/>
        <v>0</v>
      </c>
    </row>
    <row r="1025" spans="6:31" ht="24" customHeight="1">
      <c r="F1025" s="283">
        <v>1</v>
      </c>
      <c r="G1025" s="283" t="s">
        <v>868</v>
      </c>
      <c r="H1025" s="374" t="str">
        <f t="shared" si="140"/>
        <v>NYLONBUSH</v>
      </c>
      <c r="I1025" s="283">
        <f>C289</f>
        <v>7.3</v>
      </c>
      <c r="J1025" s="374" t="s">
        <v>868</v>
      </c>
      <c r="K1025" s="283">
        <f t="shared" si="139"/>
        <v>7.3</v>
      </c>
      <c r="W1025" s="744"/>
      <c r="AE1025" s="283">
        <f t="shared" si="138"/>
        <v>0</v>
      </c>
    </row>
    <row r="1026" spans="6:31" ht="24" customHeight="1">
      <c r="F1026" s="283">
        <v>1</v>
      </c>
      <c r="G1026" s="283" t="s">
        <v>868</v>
      </c>
      <c r="H1026" s="374" t="str">
        <f t="shared" si="140"/>
        <v>DOOR STOPPER (p-41)</v>
      </c>
      <c r="I1026" s="283">
        <f>D599</f>
        <v>49.55</v>
      </c>
      <c r="J1026" s="374" t="s">
        <v>868</v>
      </c>
      <c r="K1026" s="283">
        <f t="shared" si="139"/>
        <v>49.55</v>
      </c>
      <c r="W1026" s="744"/>
      <c r="AE1026" s="283">
        <f t="shared" si="138"/>
        <v>0</v>
      </c>
    </row>
    <row r="1027" spans="6:31" ht="24" customHeight="1">
      <c r="F1027" s="283">
        <v>10</v>
      </c>
      <c r="G1027" s="283" t="s">
        <v>1030</v>
      </c>
      <c r="H1027" s="374" t="str">
        <f t="shared" si="140"/>
        <v>Brass screw p-55 it-232</v>
      </c>
      <c r="I1027" s="283">
        <f>I997</f>
        <v>2.41</v>
      </c>
      <c r="J1027" s="374" t="s">
        <v>868</v>
      </c>
      <c r="K1027" s="283">
        <f t="shared" si="139"/>
        <v>24.1</v>
      </c>
      <c r="M1027" s="744" t="s">
        <v>462</v>
      </c>
      <c r="N1027" s="283" t="s">
        <v>2251</v>
      </c>
      <c r="O1027" s="374" t="s">
        <v>2177</v>
      </c>
      <c r="Q1027" s="374"/>
      <c r="W1027" s="744"/>
      <c r="AE1027" s="283">
        <f t="shared" si="138"/>
        <v>0</v>
      </c>
    </row>
    <row r="1028" spans="6:31" ht="24" customHeight="1">
      <c r="K1028" s="748" t="s">
        <v>1586</v>
      </c>
      <c r="O1028" s="374" t="s">
        <v>2179</v>
      </c>
      <c r="Q1028" s="374"/>
      <c r="W1028" s="744"/>
      <c r="AE1028" s="283">
        <f t="shared" si="138"/>
        <v>0</v>
      </c>
    </row>
    <row r="1029" spans="6:31" ht="24" customHeight="1">
      <c r="H1029" s="374" t="s">
        <v>461</v>
      </c>
      <c r="K1029" s="283">
        <f>SUM(K1016:K1027)</f>
        <v>6161.56</v>
      </c>
      <c r="O1029" s="374" t="s">
        <v>2180</v>
      </c>
      <c r="Q1029" s="374"/>
      <c r="W1029" s="744"/>
      <c r="AE1029" s="283">
        <f t="shared" si="138"/>
        <v>0</v>
      </c>
    </row>
    <row r="1030" spans="6:31" ht="24" customHeight="1">
      <c r="K1030" s="748" t="s">
        <v>1586</v>
      </c>
      <c r="O1030" s="374" t="s">
        <v>2181</v>
      </c>
      <c r="Q1030" s="374"/>
      <c r="W1030" s="744"/>
      <c r="AE1030" s="283">
        <f t="shared" si="138"/>
        <v>0</v>
      </c>
    </row>
    <row r="1031" spans="6:31" ht="24" customHeight="1">
      <c r="H1031" s="757" t="s">
        <v>552</v>
      </c>
      <c r="K1031" s="751">
        <f>K1029/F1020</f>
        <v>5071.24</v>
      </c>
      <c r="O1031" s="374" t="s">
        <v>2182</v>
      </c>
      <c r="Q1031" s="374"/>
      <c r="W1031" s="744"/>
      <c r="AE1031" s="283">
        <f t="shared" si="138"/>
        <v>0</v>
      </c>
    </row>
    <row r="1032" spans="6:31" ht="24" customHeight="1">
      <c r="K1032" s="748" t="s">
        <v>2055</v>
      </c>
      <c r="O1032" s="374" t="s">
        <v>2183</v>
      </c>
      <c r="Q1032" s="374"/>
      <c r="W1032" s="744"/>
      <c r="AE1032" s="283">
        <f t="shared" si="138"/>
        <v>0</v>
      </c>
    </row>
    <row r="1033" spans="6:31" ht="24" customHeight="1">
      <c r="H1033" s="799" t="s">
        <v>3507</v>
      </c>
      <c r="I1033" s="799"/>
      <c r="J1033" s="800"/>
      <c r="K1033" s="799">
        <f>K913</f>
        <v>2135</v>
      </c>
      <c r="O1033" s="748" t="s">
        <v>1586</v>
      </c>
      <c r="Q1033" s="374"/>
      <c r="W1033" s="744"/>
      <c r="AE1033" s="283">
        <f t="shared" si="138"/>
        <v>0</v>
      </c>
    </row>
    <row r="1034" spans="6:31" ht="24" customHeight="1">
      <c r="F1034" s="744" t="s">
        <v>462</v>
      </c>
      <c r="G1034" s="283" t="s">
        <v>2251</v>
      </c>
      <c r="H1034" s="374" t="s">
        <v>2177</v>
      </c>
      <c r="O1034" s="374" t="s">
        <v>644</v>
      </c>
      <c r="Q1034" s="374"/>
      <c r="W1034" s="744"/>
      <c r="AE1034" s="283">
        <f t="shared" si="138"/>
        <v>0</v>
      </c>
    </row>
    <row r="1035" spans="6:31" ht="24" customHeight="1">
      <c r="H1035" s="374" t="s">
        <v>2179</v>
      </c>
      <c r="O1035" s="374" t="s">
        <v>2184</v>
      </c>
      <c r="Q1035" s="374"/>
      <c r="W1035" s="744"/>
      <c r="AE1035" s="283">
        <f t="shared" si="138"/>
        <v>0</v>
      </c>
    </row>
    <row r="1036" spans="6:31" ht="24" customHeight="1">
      <c r="H1036" s="374" t="s">
        <v>2180</v>
      </c>
      <c r="Q1036" s="374" t="s">
        <v>1586</v>
      </c>
      <c r="W1036" s="744"/>
    </row>
    <row r="1037" spans="6:31" ht="24" customHeight="1">
      <c r="H1037" s="374" t="s">
        <v>2181</v>
      </c>
      <c r="O1037" s="374" t="s">
        <v>2185</v>
      </c>
      <c r="Q1037" s="374"/>
      <c r="W1037" s="744"/>
      <c r="AE1037" s="283">
        <f t="shared" ref="AE1037:AE1042" si="141">AG1037</f>
        <v>0</v>
      </c>
    </row>
    <row r="1038" spans="6:31" ht="24" customHeight="1">
      <c r="H1038" s="374" t="s">
        <v>2182</v>
      </c>
      <c r="O1038" s="374" t="s">
        <v>975</v>
      </c>
      <c r="P1038" s="374" t="s">
        <v>975</v>
      </c>
      <c r="Q1038" s="374"/>
      <c r="R1038" s="796" t="s">
        <v>975</v>
      </c>
      <c r="W1038" s="744"/>
      <c r="AE1038" s="283">
        <f t="shared" si="141"/>
        <v>0</v>
      </c>
    </row>
    <row r="1039" spans="6:31" ht="24" customHeight="1">
      <c r="H1039" s="374" t="s">
        <v>2183</v>
      </c>
      <c r="Q1039" s="374" t="s">
        <v>975</v>
      </c>
      <c r="R1039" s="374" t="s">
        <v>975</v>
      </c>
      <c r="W1039" s="744"/>
      <c r="AE1039" s="283">
        <f t="shared" si="141"/>
        <v>0</v>
      </c>
    </row>
    <row r="1040" spans="6:31" ht="24" customHeight="1">
      <c r="H1040" s="748" t="s">
        <v>1586</v>
      </c>
      <c r="O1040" s="374" t="s">
        <v>2111</v>
      </c>
      <c r="Q1040" s="796" t="s">
        <v>975</v>
      </c>
      <c r="R1040" s="796" t="s">
        <v>975</v>
      </c>
      <c r="W1040" s="744"/>
      <c r="AE1040" s="283">
        <f t="shared" si="141"/>
        <v>0</v>
      </c>
    </row>
    <row r="1041" spans="6:33" ht="24" customHeight="1">
      <c r="H1041" s="374" t="s">
        <v>644</v>
      </c>
      <c r="O1041" s="374" t="s">
        <v>111</v>
      </c>
      <c r="Q1041" s="374"/>
      <c r="R1041" s="796" t="s">
        <v>1740</v>
      </c>
      <c r="W1041" s="744"/>
      <c r="AE1041" s="283">
        <f t="shared" si="141"/>
        <v>0</v>
      </c>
    </row>
    <row r="1042" spans="6:33" ht="24" customHeight="1">
      <c r="H1042" s="374" t="s">
        <v>2184</v>
      </c>
      <c r="Q1042" s="374"/>
      <c r="R1042" s="374" t="s">
        <v>975</v>
      </c>
      <c r="W1042" s="744"/>
      <c r="AE1042" s="283">
        <f t="shared" si="141"/>
        <v>0</v>
      </c>
    </row>
    <row r="1043" spans="6:33" ht="24" customHeight="1">
      <c r="J1043" s="374" t="s">
        <v>1586</v>
      </c>
      <c r="Q1043" s="374"/>
      <c r="R1043" s="796" t="s">
        <v>975</v>
      </c>
      <c r="W1043" s="744"/>
      <c r="AB1043" s="744" t="s">
        <v>462</v>
      </c>
      <c r="AC1043" s="283" t="s">
        <v>2251</v>
      </c>
      <c r="AD1043" s="374" t="s">
        <v>6099</v>
      </c>
      <c r="AF1043" s="374"/>
    </row>
    <row r="1044" spans="6:33" ht="24" customHeight="1">
      <c r="H1044" s="374" t="s">
        <v>2185</v>
      </c>
      <c r="Q1044" s="374"/>
      <c r="R1044" s="374" t="s">
        <v>975</v>
      </c>
      <c r="W1044" s="744"/>
      <c r="AD1044" s="374" t="s">
        <v>2179</v>
      </c>
      <c r="AF1044" s="374"/>
    </row>
    <row r="1045" spans="6:33" ht="24" customHeight="1">
      <c r="H1045" s="374" t="s">
        <v>975</v>
      </c>
      <c r="I1045" s="374" t="s">
        <v>975</v>
      </c>
      <c r="K1045" s="796" t="s">
        <v>975</v>
      </c>
      <c r="M1045" s="744" t="s">
        <v>1473</v>
      </c>
      <c r="O1045" s="374" t="s">
        <v>720</v>
      </c>
      <c r="Q1045" s="374"/>
      <c r="R1045" s="374" t="s">
        <v>975</v>
      </c>
      <c r="W1045" s="744"/>
      <c r="AD1045" s="374" t="s">
        <v>2180</v>
      </c>
      <c r="AF1045" s="374"/>
    </row>
    <row r="1046" spans="6:33" ht="24" customHeight="1">
      <c r="J1046" s="374" t="s">
        <v>975</v>
      </c>
      <c r="K1046" s="374" t="s">
        <v>975</v>
      </c>
      <c r="O1046" s="748" t="s">
        <v>1586</v>
      </c>
      <c r="Q1046" s="374"/>
      <c r="W1046" s="744"/>
      <c r="AD1046" s="374" t="s">
        <v>2181</v>
      </c>
      <c r="AF1046" s="374"/>
    </row>
    <row r="1047" spans="6:33" ht="24" customHeight="1">
      <c r="H1047" s="374" t="s">
        <v>2111</v>
      </c>
      <c r="J1047" s="796" t="s">
        <v>975</v>
      </c>
      <c r="K1047" s="796" t="s">
        <v>975</v>
      </c>
      <c r="M1047" s="797">
        <v>1.153E-2</v>
      </c>
      <c r="N1047" s="283" t="s">
        <v>869</v>
      </c>
      <c r="O1047" s="374" t="s">
        <v>1761</v>
      </c>
      <c r="P1047" s="283">
        <f>C87</f>
        <v>34300</v>
      </c>
      <c r="Q1047" s="374" t="s">
        <v>869</v>
      </c>
      <c r="R1047" s="283">
        <f t="shared" ref="R1047:R1056" si="142">(M1047*P1047)</f>
        <v>395.48</v>
      </c>
      <c r="W1047" s="744"/>
      <c r="AD1047" s="374" t="s">
        <v>2182</v>
      </c>
      <c r="AF1047" s="374"/>
    </row>
    <row r="1048" spans="6:33" ht="24" customHeight="1">
      <c r="H1048" s="374" t="s">
        <v>111</v>
      </c>
      <c r="K1048" s="796" t="s">
        <v>1740</v>
      </c>
      <c r="M1048" s="797">
        <v>1.35E-2</v>
      </c>
      <c r="N1048" s="283" t="s">
        <v>869</v>
      </c>
      <c r="O1048" s="374" t="s">
        <v>1761</v>
      </c>
      <c r="P1048" s="283">
        <f>P1047</f>
        <v>34300</v>
      </c>
      <c r="Q1048" s="374" t="s">
        <v>869</v>
      </c>
      <c r="R1048" s="283">
        <f t="shared" si="142"/>
        <v>463.05</v>
      </c>
      <c r="W1048" s="744"/>
      <c r="AD1048" s="374" t="s">
        <v>6100</v>
      </c>
      <c r="AF1048" s="374"/>
    </row>
    <row r="1049" spans="6:33" ht="24" customHeight="1">
      <c r="K1049" s="374" t="s">
        <v>975</v>
      </c>
      <c r="M1049" s="797">
        <v>1.016</v>
      </c>
      <c r="N1049" s="283" t="s">
        <v>609</v>
      </c>
      <c r="O1049" s="374" t="s">
        <v>2091</v>
      </c>
      <c r="P1049" s="283">
        <f>I1056</f>
        <v>387.4</v>
      </c>
      <c r="Q1049" s="374" t="s">
        <v>609</v>
      </c>
      <c r="R1049" s="283">
        <f t="shared" si="142"/>
        <v>393.6</v>
      </c>
      <c r="W1049" s="744"/>
      <c r="AD1049" s="748" t="s">
        <v>1586</v>
      </c>
      <c r="AF1049" s="374"/>
    </row>
    <row r="1050" spans="6:33" ht="24" customHeight="1">
      <c r="K1050" s="796" t="s">
        <v>975</v>
      </c>
      <c r="M1050" s="797">
        <v>1.64</v>
      </c>
      <c r="N1050" s="283" t="s">
        <v>609</v>
      </c>
      <c r="O1050" s="374" t="s">
        <v>2092</v>
      </c>
      <c r="P1050" s="283">
        <f t="shared" ref="P1050:P1055" si="143">I1057</f>
        <v>1281</v>
      </c>
      <c r="Q1050" s="374" t="s">
        <v>609</v>
      </c>
      <c r="R1050" s="283">
        <f t="shared" si="142"/>
        <v>2100.84</v>
      </c>
      <c r="W1050" s="744"/>
      <c r="AD1050" s="374" t="s">
        <v>1731</v>
      </c>
      <c r="AF1050" s="374"/>
    </row>
    <row r="1051" spans="6:33" ht="24" customHeight="1">
      <c r="K1051" s="374" t="s">
        <v>975</v>
      </c>
      <c r="M1051" s="283">
        <v>2</v>
      </c>
      <c r="N1051" s="283" t="s">
        <v>868</v>
      </c>
      <c r="O1051" s="374" t="s">
        <v>2093</v>
      </c>
      <c r="P1051" s="283">
        <f t="shared" si="143"/>
        <v>64.8</v>
      </c>
      <c r="Q1051" s="374" t="s">
        <v>868</v>
      </c>
      <c r="R1051" s="283">
        <f t="shared" si="142"/>
        <v>129.6</v>
      </c>
      <c r="W1051" s="744"/>
      <c r="AD1051" s="374" t="s">
        <v>1732</v>
      </c>
      <c r="AF1051" s="374"/>
    </row>
    <row r="1052" spans="6:33" ht="24" customHeight="1">
      <c r="F1052" s="744" t="s">
        <v>1473</v>
      </c>
      <c r="H1052" s="374" t="s">
        <v>720</v>
      </c>
      <c r="K1052" s="374" t="s">
        <v>975</v>
      </c>
      <c r="M1052" s="283">
        <v>3</v>
      </c>
      <c r="N1052" s="283" t="s">
        <v>868</v>
      </c>
      <c r="O1052" s="374" t="s">
        <v>1517</v>
      </c>
      <c r="P1052" s="283">
        <f t="shared" si="143"/>
        <v>89.6</v>
      </c>
      <c r="Q1052" s="374" t="s">
        <v>868</v>
      </c>
      <c r="R1052" s="283">
        <f t="shared" si="142"/>
        <v>268.8</v>
      </c>
      <c r="W1052" s="744"/>
      <c r="AF1052" s="374" t="s">
        <v>1586</v>
      </c>
    </row>
    <row r="1053" spans="6:33" ht="24" customHeight="1">
      <c r="H1053" s="748" t="s">
        <v>1586</v>
      </c>
      <c r="M1053" s="283">
        <v>1</v>
      </c>
      <c r="N1053" s="283" t="s">
        <v>868</v>
      </c>
      <c r="O1053" s="374" t="s">
        <v>1979</v>
      </c>
      <c r="P1053" s="283">
        <f t="shared" si="143"/>
        <v>181</v>
      </c>
      <c r="Q1053" s="374" t="s">
        <v>868</v>
      </c>
      <c r="R1053" s="283">
        <f t="shared" si="142"/>
        <v>181</v>
      </c>
      <c r="W1053" s="744"/>
      <c r="AD1053" s="374" t="s">
        <v>1733</v>
      </c>
      <c r="AF1053" s="374"/>
    </row>
    <row r="1054" spans="6:33" ht="24" customHeight="1">
      <c r="F1054" s="797">
        <v>1.153E-2</v>
      </c>
      <c r="G1054" s="283" t="s">
        <v>869</v>
      </c>
      <c r="H1054" s="374" t="s">
        <v>692</v>
      </c>
      <c r="I1054" s="283">
        <f>C89</f>
        <v>111600</v>
      </c>
      <c r="J1054" s="374" t="s">
        <v>869</v>
      </c>
      <c r="K1054" s="283">
        <f t="shared" ref="K1054:K1064" si="144">(F1054*I1054)</f>
        <v>1286.75</v>
      </c>
      <c r="M1054" s="283">
        <v>1</v>
      </c>
      <c r="N1054" s="283" t="s">
        <v>868</v>
      </c>
      <c r="O1054" s="374" t="s">
        <v>1980</v>
      </c>
      <c r="P1054" s="283">
        <f t="shared" si="143"/>
        <v>7.3</v>
      </c>
      <c r="Q1054" s="374" t="s">
        <v>868</v>
      </c>
      <c r="R1054" s="283">
        <f t="shared" si="142"/>
        <v>7.3</v>
      </c>
      <c r="W1054" s="744"/>
      <c r="AD1054" s="374" t="s">
        <v>975</v>
      </c>
      <c r="AE1054" s="374" t="s">
        <v>975</v>
      </c>
      <c r="AF1054" s="374"/>
      <c r="AG1054" s="796" t="s">
        <v>975</v>
      </c>
    </row>
    <row r="1055" spans="6:33" ht="24" customHeight="1">
      <c r="F1055" s="797">
        <v>1.35E-2</v>
      </c>
      <c r="G1055" s="283" t="s">
        <v>869</v>
      </c>
      <c r="H1055" s="374" t="s">
        <v>693</v>
      </c>
      <c r="I1055" s="283">
        <f>C90</f>
        <v>99400</v>
      </c>
      <c r="J1055" s="374" t="s">
        <v>869</v>
      </c>
      <c r="K1055" s="283">
        <f t="shared" si="144"/>
        <v>1341.9</v>
      </c>
      <c r="M1055" s="283">
        <v>1</v>
      </c>
      <c r="N1055" s="283" t="s">
        <v>868</v>
      </c>
      <c r="O1055" s="374" t="s">
        <v>1981</v>
      </c>
      <c r="P1055" s="283">
        <f t="shared" si="143"/>
        <v>57.65</v>
      </c>
      <c r="Q1055" s="374" t="s">
        <v>868</v>
      </c>
      <c r="R1055" s="283">
        <f t="shared" si="142"/>
        <v>57.65</v>
      </c>
      <c r="W1055" s="744"/>
      <c r="AF1055" s="374" t="s">
        <v>975</v>
      </c>
      <c r="AG1055" s="374" t="s">
        <v>975</v>
      </c>
    </row>
    <row r="1056" spans="6:33" ht="24" customHeight="1">
      <c r="F1056" s="797">
        <v>1.016</v>
      </c>
      <c r="G1056" s="283" t="s">
        <v>609</v>
      </c>
      <c r="H1056" s="374" t="s">
        <v>2091</v>
      </c>
      <c r="I1056" s="283">
        <f>C784</f>
        <v>387.4</v>
      </c>
      <c r="J1056" s="374" t="s">
        <v>609</v>
      </c>
      <c r="K1056" s="283">
        <f t="shared" si="144"/>
        <v>393.6</v>
      </c>
      <c r="M1056" s="283">
        <v>1</v>
      </c>
      <c r="N1056" s="283" t="s">
        <v>868</v>
      </c>
      <c r="O1056" s="374" t="s">
        <v>1982</v>
      </c>
      <c r="P1056" s="283">
        <f>P954</f>
        <v>49.55</v>
      </c>
      <c r="Q1056" s="374" t="s">
        <v>868</v>
      </c>
      <c r="R1056" s="283">
        <f t="shared" si="142"/>
        <v>49.55</v>
      </c>
      <c r="W1056" s="744"/>
      <c r="AD1056" s="374" t="s">
        <v>1734</v>
      </c>
      <c r="AF1056" s="796" t="s">
        <v>975</v>
      </c>
      <c r="AG1056" s="796" t="s">
        <v>975</v>
      </c>
    </row>
    <row r="1057" spans="6:33" ht="24" customHeight="1">
      <c r="F1057" s="797">
        <v>1.64</v>
      </c>
      <c r="G1057" s="283" t="s">
        <v>609</v>
      </c>
      <c r="H1057" s="374" t="s">
        <v>2092</v>
      </c>
      <c r="I1057" s="283">
        <f>D30</f>
        <v>1281</v>
      </c>
      <c r="J1057" s="374" t="s">
        <v>609</v>
      </c>
      <c r="K1057" s="283">
        <f t="shared" si="144"/>
        <v>2100.84</v>
      </c>
      <c r="Q1057" s="374"/>
      <c r="R1057" s="748" t="s">
        <v>1586</v>
      </c>
      <c r="S1057" s="801"/>
      <c r="W1057" s="744"/>
      <c r="AD1057" s="374" t="s">
        <v>1735</v>
      </c>
      <c r="AF1057" s="374"/>
      <c r="AG1057" s="796" t="s">
        <v>1736</v>
      </c>
    </row>
    <row r="1058" spans="6:33" ht="24" customHeight="1">
      <c r="F1058" s="283">
        <v>2</v>
      </c>
      <c r="G1058" s="283" t="s">
        <v>868</v>
      </c>
      <c r="H1058" s="374" t="str">
        <f>H1023</f>
        <v xml:space="preserve"> 6"X1/2"TOWER BOLT (p-40)</v>
      </c>
      <c r="I1058" s="283">
        <f>C285</f>
        <v>64.8</v>
      </c>
      <c r="J1058" s="374" t="s">
        <v>868</v>
      </c>
      <c r="K1058" s="283">
        <f t="shared" si="144"/>
        <v>129.6</v>
      </c>
      <c r="O1058" s="744" t="s">
        <v>1518</v>
      </c>
      <c r="Q1058" s="374"/>
      <c r="R1058" s="283">
        <f>SUM(R1047:R1056)</f>
        <v>4046.87</v>
      </c>
      <c r="W1058" s="744"/>
      <c r="AF1058" s="374"/>
      <c r="AG1058" s="374" t="s">
        <v>975</v>
      </c>
    </row>
    <row r="1059" spans="6:33" ht="24" customHeight="1">
      <c r="F1059" s="283">
        <v>3</v>
      </c>
      <c r="G1059" s="283" t="s">
        <v>868</v>
      </c>
      <c r="H1059" s="374" t="s">
        <v>1517</v>
      </c>
      <c r="I1059" s="283">
        <f>C280</f>
        <v>89.6</v>
      </c>
      <c r="J1059" s="374" t="s">
        <v>868</v>
      </c>
      <c r="K1059" s="283">
        <f t="shared" si="144"/>
        <v>268.8</v>
      </c>
      <c r="N1059" s="283" t="s">
        <v>975</v>
      </c>
      <c r="Q1059" s="374"/>
      <c r="R1059" s="748" t="s">
        <v>1586</v>
      </c>
      <c r="S1059" s="801"/>
      <c r="W1059" s="744"/>
      <c r="AF1059" s="374"/>
      <c r="AG1059" s="796" t="s">
        <v>975</v>
      </c>
    </row>
    <row r="1060" spans="6:33" ht="24" customHeight="1">
      <c r="F1060" s="283">
        <v>1</v>
      </c>
      <c r="G1060" s="283" t="s">
        <v>868</v>
      </c>
      <c r="H1060" s="374" t="s">
        <v>1979</v>
      </c>
      <c r="I1060" s="283">
        <f>C287</f>
        <v>181</v>
      </c>
      <c r="J1060" s="374" t="s">
        <v>868</v>
      </c>
      <c r="K1060" s="283">
        <f t="shared" si="144"/>
        <v>181</v>
      </c>
      <c r="O1060" s="757" t="s">
        <v>552</v>
      </c>
      <c r="Q1060" s="374"/>
      <c r="R1060" s="751">
        <f>R1058/M1050</f>
        <v>2467.6</v>
      </c>
      <c r="W1060" s="744"/>
      <c r="AF1060" s="374"/>
      <c r="AG1060" s="374" t="s">
        <v>975</v>
      </c>
    </row>
    <row r="1061" spans="6:33" ht="24" customHeight="1">
      <c r="F1061" s="283">
        <v>1</v>
      </c>
      <c r="G1061" s="283" t="s">
        <v>868</v>
      </c>
      <c r="H1061" s="374" t="s">
        <v>1980</v>
      </c>
      <c r="I1061" s="283">
        <f>C289</f>
        <v>7.3</v>
      </c>
      <c r="J1061" s="374" t="s">
        <v>868</v>
      </c>
      <c r="K1061" s="283">
        <f t="shared" si="144"/>
        <v>7.3</v>
      </c>
      <c r="Q1061" s="374"/>
      <c r="R1061" s="748" t="s">
        <v>2055</v>
      </c>
      <c r="S1061" s="801" t="s">
        <v>2055</v>
      </c>
      <c r="W1061" s="744"/>
      <c r="AB1061" s="744" t="s">
        <v>1473</v>
      </c>
      <c r="AD1061" s="374" t="s">
        <v>1738</v>
      </c>
      <c r="AF1061" s="374"/>
      <c r="AG1061" s="374" t="s">
        <v>975</v>
      </c>
    </row>
    <row r="1062" spans="6:33" ht="24" customHeight="1">
      <c r="F1062" s="283">
        <v>1</v>
      </c>
      <c r="G1062" s="283" t="s">
        <v>868</v>
      </c>
      <c r="H1062" s="374" t="s">
        <v>1137</v>
      </c>
      <c r="I1062" s="283">
        <f>C599</f>
        <v>57.65</v>
      </c>
      <c r="J1062" s="374" t="s">
        <v>868</v>
      </c>
      <c r="K1062" s="283">
        <f t="shared" si="144"/>
        <v>57.65</v>
      </c>
      <c r="M1062" s="744"/>
      <c r="O1062" s="374"/>
      <c r="Q1062" s="374"/>
      <c r="R1062" s="374" t="s">
        <v>975</v>
      </c>
      <c r="W1062" s="744"/>
      <c r="AD1062" s="748" t="s">
        <v>1586</v>
      </c>
      <c r="AF1062" s="374"/>
    </row>
    <row r="1063" spans="6:33" ht="24" customHeight="1">
      <c r="F1063" s="283">
        <v>1</v>
      </c>
      <c r="G1063" s="283" t="s">
        <v>868</v>
      </c>
      <c r="H1063" s="374" t="s">
        <v>1982</v>
      </c>
      <c r="I1063" s="283">
        <f>D599</f>
        <v>49.55</v>
      </c>
      <c r="J1063" s="374" t="s">
        <v>868</v>
      </c>
      <c r="K1063" s="283">
        <f t="shared" si="144"/>
        <v>49.55</v>
      </c>
      <c r="M1063" s="744" t="s">
        <v>1473</v>
      </c>
      <c r="O1063" s="374" t="s">
        <v>1814</v>
      </c>
      <c r="Q1063" s="374"/>
      <c r="R1063" s="374" t="s">
        <v>975</v>
      </c>
      <c r="W1063" s="744"/>
      <c r="AB1063" s="797">
        <v>2.3060000000000001E-2</v>
      </c>
      <c r="AC1063" s="283" t="s">
        <v>869</v>
      </c>
      <c r="AD1063" s="374" t="s">
        <v>692</v>
      </c>
      <c r="AE1063" s="283">
        <f>I1054</f>
        <v>111600</v>
      </c>
      <c r="AF1063" s="374" t="s">
        <v>869</v>
      </c>
      <c r="AG1063" s="283">
        <f t="shared" ref="AG1063:AG1073" si="145">(AB1063*AE1063)</f>
        <v>2573.5</v>
      </c>
    </row>
    <row r="1064" spans="6:33" ht="24" customHeight="1">
      <c r="F1064" s="283">
        <v>58</v>
      </c>
      <c r="G1064" s="283" t="s">
        <v>1030</v>
      </c>
      <c r="H1064" s="374" t="s">
        <v>1141</v>
      </c>
      <c r="I1064" s="283">
        <f>I1027</f>
        <v>2.41</v>
      </c>
      <c r="J1064" s="374" t="s">
        <v>868</v>
      </c>
      <c r="K1064" s="283">
        <f t="shared" si="144"/>
        <v>139.78</v>
      </c>
      <c r="O1064" s="748" t="s">
        <v>1586</v>
      </c>
      <c r="Q1064" s="374"/>
      <c r="W1064" s="744"/>
      <c r="AB1064" s="797">
        <v>1.856E-2</v>
      </c>
      <c r="AC1064" s="283" t="s">
        <v>869</v>
      </c>
      <c r="AD1064" s="374" t="s">
        <v>693</v>
      </c>
      <c r="AE1064" s="283">
        <f t="shared" ref="AE1064:AE1072" si="146">I1055</f>
        <v>99400</v>
      </c>
      <c r="AF1064" s="374" t="s">
        <v>869</v>
      </c>
      <c r="AG1064" s="283">
        <f t="shared" si="145"/>
        <v>1844.86</v>
      </c>
    </row>
    <row r="1065" spans="6:33" ht="24" customHeight="1">
      <c r="H1065" s="744" t="s">
        <v>1518</v>
      </c>
      <c r="K1065" s="283">
        <f>SUM(K1054:K1064)</f>
        <v>5956.77</v>
      </c>
      <c r="M1065" s="797">
        <v>1.153E-2</v>
      </c>
      <c r="N1065" s="283" t="s">
        <v>869</v>
      </c>
      <c r="O1065" s="374" t="s">
        <v>692</v>
      </c>
      <c r="P1065" s="283">
        <f>I1054</f>
        <v>111600</v>
      </c>
      <c r="Q1065" s="374" t="s">
        <v>869</v>
      </c>
      <c r="R1065" s="283">
        <f t="shared" ref="R1065:R1075" si="147">(M1065*P1065)</f>
        <v>1286.75</v>
      </c>
      <c r="W1065" s="744"/>
      <c r="AB1065" s="797">
        <v>1.4</v>
      </c>
      <c r="AC1065" s="283" t="s">
        <v>609</v>
      </c>
      <c r="AD1065" s="374" t="s">
        <v>2091</v>
      </c>
      <c r="AE1065" s="283">
        <f t="shared" si="146"/>
        <v>387.4</v>
      </c>
      <c r="AF1065" s="374" t="s">
        <v>609</v>
      </c>
      <c r="AG1065" s="283">
        <f t="shared" si="145"/>
        <v>542.36</v>
      </c>
    </row>
    <row r="1066" spans="6:33" ht="24" customHeight="1">
      <c r="G1066" s="283" t="s">
        <v>975</v>
      </c>
      <c r="K1066" s="748" t="s">
        <v>1586</v>
      </c>
      <c r="M1066" s="797">
        <v>1.52E-2</v>
      </c>
      <c r="N1066" s="283" t="s">
        <v>869</v>
      </c>
      <c r="O1066" s="374" t="s">
        <v>693</v>
      </c>
      <c r="P1066" s="283">
        <f t="shared" ref="P1066:P1074" si="148">I1055</f>
        <v>99400</v>
      </c>
      <c r="Q1066" s="374" t="s">
        <v>869</v>
      </c>
      <c r="R1066" s="283">
        <f t="shared" si="147"/>
        <v>1510.88</v>
      </c>
      <c r="W1066" s="744"/>
      <c r="AB1066" s="797">
        <v>2.2549999999999999</v>
      </c>
      <c r="AC1066" s="283" t="s">
        <v>609</v>
      </c>
      <c r="AD1066" s="374" t="s">
        <v>2092</v>
      </c>
      <c r="AE1066" s="283">
        <f t="shared" si="146"/>
        <v>1281</v>
      </c>
      <c r="AF1066" s="374" t="s">
        <v>609</v>
      </c>
      <c r="AG1066" s="283">
        <f t="shared" si="145"/>
        <v>2888.66</v>
      </c>
    </row>
    <row r="1067" spans="6:33" ht="24" customHeight="1">
      <c r="H1067" s="757" t="s">
        <v>552</v>
      </c>
      <c r="K1067" s="751">
        <f>K1065/F1057</f>
        <v>3632.18</v>
      </c>
      <c r="M1067" s="797">
        <v>1.26</v>
      </c>
      <c r="N1067" s="283" t="s">
        <v>609</v>
      </c>
      <c r="O1067" s="374" t="s">
        <v>2091</v>
      </c>
      <c r="P1067" s="283">
        <f t="shared" si="148"/>
        <v>387.4</v>
      </c>
      <c r="Q1067" s="374" t="s">
        <v>609</v>
      </c>
      <c r="R1067" s="283">
        <f t="shared" si="147"/>
        <v>488.12</v>
      </c>
      <c r="W1067" s="744"/>
      <c r="AB1067" s="283">
        <v>4</v>
      </c>
      <c r="AC1067" s="283" t="s">
        <v>868</v>
      </c>
      <c r="AD1067" s="374" t="s">
        <v>2093</v>
      </c>
      <c r="AE1067" s="283">
        <f t="shared" si="146"/>
        <v>64.8</v>
      </c>
      <c r="AF1067" s="374" t="s">
        <v>868</v>
      </c>
      <c r="AG1067" s="283">
        <f t="shared" si="145"/>
        <v>259.2</v>
      </c>
    </row>
    <row r="1068" spans="6:33" ht="24" customHeight="1">
      <c r="K1068" s="748" t="s">
        <v>2055</v>
      </c>
      <c r="M1068" s="797">
        <v>1.845</v>
      </c>
      <c r="N1068" s="283" t="s">
        <v>609</v>
      </c>
      <c r="O1068" s="374" t="s">
        <v>2092</v>
      </c>
      <c r="P1068" s="283">
        <f t="shared" si="148"/>
        <v>1281</v>
      </c>
      <c r="Q1068" s="374" t="s">
        <v>609</v>
      </c>
      <c r="R1068" s="283">
        <f t="shared" si="147"/>
        <v>2363.4499999999998</v>
      </c>
      <c r="W1068" s="744"/>
      <c r="AB1068" s="283">
        <v>6</v>
      </c>
      <c r="AC1068" s="283" t="s">
        <v>868</v>
      </c>
      <c r="AD1068" s="374" t="s">
        <v>1517</v>
      </c>
      <c r="AE1068" s="283">
        <f t="shared" si="146"/>
        <v>89.6</v>
      </c>
      <c r="AF1068" s="374" t="s">
        <v>868</v>
      </c>
      <c r="AG1068" s="283">
        <f t="shared" si="145"/>
        <v>537.6</v>
      </c>
    </row>
    <row r="1069" spans="6:33" ht="24" customHeight="1">
      <c r="F1069" s="744" t="s">
        <v>1572</v>
      </c>
      <c r="H1069" s="374" t="s">
        <v>1339</v>
      </c>
      <c r="M1069" s="283">
        <v>2</v>
      </c>
      <c r="N1069" s="283" t="s">
        <v>868</v>
      </c>
      <c r="O1069" s="374" t="s">
        <v>2093</v>
      </c>
      <c r="P1069" s="283">
        <f t="shared" si="148"/>
        <v>64.8</v>
      </c>
      <c r="Q1069" s="374" t="s">
        <v>868</v>
      </c>
      <c r="R1069" s="283">
        <f t="shared" si="147"/>
        <v>129.6</v>
      </c>
      <c r="W1069" s="744"/>
      <c r="AB1069" s="283">
        <v>1</v>
      </c>
      <c r="AC1069" s="283" t="s">
        <v>868</v>
      </c>
      <c r="AD1069" s="374" t="s">
        <v>1979</v>
      </c>
      <c r="AE1069" s="283">
        <f t="shared" si="146"/>
        <v>181</v>
      </c>
      <c r="AF1069" s="374" t="s">
        <v>868</v>
      </c>
      <c r="AG1069" s="283">
        <f t="shared" si="145"/>
        <v>181</v>
      </c>
    </row>
    <row r="1070" spans="6:33" ht="24" customHeight="1">
      <c r="H1070" s="374" t="s">
        <v>1340</v>
      </c>
      <c r="M1070" s="283">
        <v>3</v>
      </c>
      <c r="N1070" s="283" t="s">
        <v>868</v>
      </c>
      <c r="O1070" s="374" t="s">
        <v>1517</v>
      </c>
      <c r="P1070" s="283">
        <f t="shared" si="148"/>
        <v>89.6</v>
      </c>
      <c r="Q1070" s="374" t="s">
        <v>868</v>
      </c>
      <c r="R1070" s="283">
        <f t="shared" si="147"/>
        <v>268.8</v>
      </c>
      <c r="W1070" s="744"/>
      <c r="AB1070" s="283">
        <v>2</v>
      </c>
      <c r="AC1070" s="283" t="s">
        <v>868</v>
      </c>
      <c r="AD1070" s="374" t="s">
        <v>1980</v>
      </c>
      <c r="AE1070" s="283">
        <f t="shared" si="146"/>
        <v>7.3</v>
      </c>
      <c r="AF1070" s="374" t="s">
        <v>868</v>
      </c>
      <c r="AG1070" s="283">
        <f t="shared" si="145"/>
        <v>14.6</v>
      </c>
    </row>
    <row r="1071" spans="6:33" ht="24" customHeight="1">
      <c r="H1071" s="748" t="s">
        <v>1586</v>
      </c>
      <c r="M1071" s="283">
        <v>1</v>
      </c>
      <c r="N1071" s="283" t="s">
        <v>868</v>
      </c>
      <c r="O1071" s="374" t="s">
        <v>1979</v>
      </c>
      <c r="P1071" s="283">
        <f t="shared" si="148"/>
        <v>181</v>
      </c>
      <c r="Q1071" s="374" t="s">
        <v>868</v>
      </c>
      <c r="R1071" s="283">
        <f t="shared" si="147"/>
        <v>181</v>
      </c>
      <c r="W1071" s="744"/>
      <c r="AB1071" s="283">
        <v>2</v>
      </c>
      <c r="AC1071" s="283" t="s">
        <v>868</v>
      </c>
      <c r="AD1071" s="374" t="s">
        <v>1137</v>
      </c>
      <c r="AE1071" s="283">
        <f t="shared" si="146"/>
        <v>57.65</v>
      </c>
      <c r="AF1071" s="374" t="s">
        <v>868</v>
      </c>
      <c r="AG1071" s="283">
        <f t="shared" si="145"/>
        <v>115.3</v>
      </c>
    </row>
    <row r="1072" spans="6:33" ht="24" customHeight="1">
      <c r="F1072" s="797">
        <v>6.6499999999999997E-3</v>
      </c>
      <c r="G1072" s="283" t="s">
        <v>1341</v>
      </c>
      <c r="H1072" s="374" t="s">
        <v>1342</v>
      </c>
      <c r="I1072" s="283">
        <f>C90</f>
        <v>99400</v>
      </c>
      <c r="J1072" s="374" t="s">
        <v>869</v>
      </c>
      <c r="K1072" s="283">
        <f t="shared" ref="K1072:K1079" si="149">(F1072*I1072)</f>
        <v>661.01</v>
      </c>
      <c r="M1072" s="283">
        <v>1</v>
      </c>
      <c r="N1072" s="283" t="s">
        <v>868</v>
      </c>
      <c r="O1072" s="374" t="s">
        <v>1980</v>
      </c>
      <c r="P1072" s="283">
        <f t="shared" si="148"/>
        <v>7.3</v>
      </c>
      <c r="Q1072" s="374" t="s">
        <v>868</v>
      </c>
      <c r="R1072" s="283">
        <f t="shared" si="147"/>
        <v>7.3</v>
      </c>
      <c r="W1072" s="744"/>
      <c r="AB1072" s="283">
        <v>2</v>
      </c>
      <c r="AC1072" s="283" t="s">
        <v>868</v>
      </c>
      <c r="AD1072" s="374" t="s">
        <v>1982</v>
      </c>
      <c r="AE1072" s="283">
        <f t="shared" si="146"/>
        <v>49.55</v>
      </c>
      <c r="AF1072" s="374" t="s">
        <v>868</v>
      </c>
      <c r="AG1072" s="283">
        <f t="shared" si="145"/>
        <v>99.1</v>
      </c>
    </row>
    <row r="1073" spans="6:33" ht="24" customHeight="1">
      <c r="F1073" s="797">
        <v>0.32346000000000003</v>
      </c>
      <c r="G1073" s="283" t="s">
        <v>609</v>
      </c>
      <c r="H1073" s="374" t="s">
        <v>1607</v>
      </c>
      <c r="I1073" s="283">
        <v>208.8</v>
      </c>
      <c r="J1073" s="374" t="s">
        <v>869</v>
      </c>
      <c r="K1073" s="283">
        <f t="shared" si="149"/>
        <v>67.540000000000006</v>
      </c>
      <c r="M1073" s="283">
        <v>1</v>
      </c>
      <c r="N1073" s="283" t="s">
        <v>868</v>
      </c>
      <c r="O1073" s="374" t="s">
        <v>1137</v>
      </c>
      <c r="P1073" s="283">
        <f t="shared" si="148"/>
        <v>57.65</v>
      </c>
      <c r="Q1073" s="374" t="s">
        <v>868</v>
      </c>
      <c r="R1073" s="283">
        <f t="shared" si="147"/>
        <v>57.65</v>
      </c>
      <c r="W1073" s="744"/>
      <c r="AB1073" s="283">
        <v>118</v>
      </c>
      <c r="AC1073" s="283" t="s">
        <v>868</v>
      </c>
      <c r="AD1073" s="374" t="s">
        <v>1141</v>
      </c>
      <c r="AE1073" s="283">
        <f>I1064</f>
        <v>2.41</v>
      </c>
      <c r="AF1073" s="374"/>
      <c r="AG1073" s="283">
        <f t="shared" si="145"/>
        <v>284.38</v>
      </c>
    </row>
    <row r="1074" spans="6:33" ht="24" customHeight="1">
      <c r="F1074" s="797">
        <v>0.47660000000000002</v>
      </c>
      <c r="G1074" s="283" t="s">
        <v>609</v>
      </c>
      <c r="H1074" s="374" t="s">
        <v>2092</v>
      </c>
      <c r="I1074" s="283">
        <f>D31</f>
        <v>1436</v>
      </c>
      <c r="J1074" s="374" t="s">
        <v>609</v>
      </c>
      <c r="K1074" s="283">
        <f t="shared" si="149"/>
        <v>684.4</v>
      </c>
      <c r="M1074" s="283">
        <v>1</v>
      </c>
      <c r="N1074" s="283" t="s">
        <v>868</v>
      </c>
      <c r="O1074" s="374" t="s">
        <v>1982</v>
      </c>
      <c r="P1074" s="283">
        <f t="shared" si="148"/>
        <v>49.55</v>
      </c>
      <c r="Q1074" s="374" t="s">
        <v>868</v>
      </c>
      <c r="R1074" s="283">
        <f t="shared" si="147"/>
        <v>49.55</v>
      </c>
      <c r="W1074" s="744"/>
      <c r="AD1074" s="744" t="s">
        <v>1737</v>
      </c>
      <c r="AF1074" s="374"/>
      <c r="AG1074" s="283">
        <f>SUM(AG1063:AG1073)</f>
        <v>9340.56</v>
      </c>
    </row>
    <row r="1075" spans="6:33" ht="24" customHeight="1">
      <c r="F1075" s="283">
        <v>3</v>
      </c>
      <c r="G1075" s="283" t="s">
        <v>868</v>
      </c>
      <c r="H1075" s="374" t="s">
        <v>1343</v>
      </c>
      <c r="I1075" s="283">
        <f>C283</f>
        <v>49.35</v>
      </c>
      <c r="J1075" s="374" t="s">
        <v>868</v>
      </c>
      <c r="K1075" s="283">
        <f t="shared" si="149"/>
        <v>148.05000000000001</v>
      </c>
      <c r="M1075" s="283">
        <v>58</v>
      </c>
      <c r="O1075" s="374" t="s">
        <v>1742</v>
      </c>
      <c r="P1075" s="283">
        <f>I1079</f>
        <v>2.41</v>
      </c>
      <c r="Q1075" s="374"/>
      <c r="R1075" s="283">
        <f t="shared" si="147"/>
        <v>139.78</v>
      </c>
      <c r="W1075" s="744"/>
      <c r="AC1075" s="283" t="s">
        <v>975</v>
      </c>
      <c r="AF1075" s="374"/>
      <c r="AG1075" s="748" t="s">
        <v>1586</v>
      </c>
    </row>
    <row r="1076" spans="6:33" ht="24" customHeight="1">
      <c r="F1076" s="283">
        <v>2</v>
      </c>
      <c r="G1076" s="283" t="s">
        <v>868</v>
      </c>
      <c r="H1076" s="374" t="s">
        <v>2107</v>
      </c>
      <c r="I1076" s="283">
        <f>C286</f>
        <v>39.700000000000003</v>
      </c>
      <c r="J1076" s="374" t="s">
        <v>868</v>
      </c>
      <c r="K1076" s="283">
        <f t="shared" si="149"/>
        <v>79.400000000000006</v>
      </c>
      <c r="O1076" s="744" t="s">
        <v>4382</v>
      </c>
      <c r="Q1076" s="374"/>
      <c r="R1076" s="283">
        <f>SUM(R1065:R1075)</f>
        <v>6482.88</v>
      </c>
      <c r="W1076" s="744"/>
      <c r="AD1076" s="757" t="s">
        <v>552</v>
      </c>
      <c r="AF1076" s="374"/>
      <c r="AG1076" s="751">
        <f>AG1074/AB1066</f>
        <v>4142.16</v>
      </c>
    </row>
    <row r="1077" spans="6:33" ht="24" customHeight="1">
      <c r="F1077" s="283">
        <v>1</v>
      </c>
      <c r="G1077" s="283" t="s">
        <v>868</v>
      </c>
      <c r="H1077" s="374" t="s">
        <v>2108</v>
      </c>
      <c r="I1077" s="283">
        <f>I1061</f>
        <v>7.3</v>
      </c>
      <c r="J1077" s="374" t="s">
        <v>868</v>
      </c>
      <c r="K1077" s="283">
        <f t="shared" si="149"/>
        <v>7.3</v>
      </c>
      <c r="N1077" s="283" t="s">
        <v>975</v>
      </c>
      <c r="Q1077" s="374"/>
      <c r="R1077" s="748" t="s">
        <v>1586</v>
      </c>
      <c r="W1077" s="744"/>
      <c r="AF1077" s="374"/>
      <c r="AG1077" s="748" t="s">
        <v>2055</v>
      </c>
    </row>
    <row r="1078" spans="6:33" ht="24" customHeight="1">
      <c r="F1078" s="283">
        <v>1</v>
      </c>
      <c r="G1078" s="283" t="s">
        <v>868</v>
      </c>
      <c r="H1078" s="374" t="s">
        <v>2109</v>
      </c>
      <c r="I1078" s="283">
        <f>C293</f>
        <v>8.9</v>
      </c>
      <c r="J1078" s="374" t="s">
        <v>868</v>
      </c>
      <c r="K1078" s="283">
        <f t="shared" si="149"/>
        <v>8.9</v>
      </c>
      <c r="O1078" s="757" t="s">
        <v>552</v>
      </c>
      <c r="Q1078" s="374"/>
      <c r="R1078" s="751">
        <f>R1076/M1068</f>
        <v>3513.76</v>
      </c>
      <c r="W1078" s="744"/>
    </row>
    <row r="1079" spans="6:33" ht="24" customHeight="1">
      <c r="F1079" s="283">
        <v>24</v>
      </c>
      <c r="H1079" s="374" t="s">
        <v>1141</v>
      </c>
      <c r="I1079" s="283">
        <f>I1064</f>
        <v>2.41</v>
      </c>
      <c r="J1079" s="374" t="s">
        <v>868</v>
      </c>
      <c r="K1079" s="283">
        <f t="shared" si="149"/>
        <v>57.84</v>
      </c>
      <c r="Q1079" s="374"/>
      <c r="R1079" s="748" t="s">
        <v>2055</v>
      </c>
      <c r="W1079" s="744"/>
    </row>
    <row r="1080" spans="6:33" ht="24" customHeight="1">
      <c r="H1080" s="744" t="s">
        <v>2110</v>
      </c>
      <c r="K1080" s="283">
        <f>SUM(K1072:K1079)</f>
        <v>1714.44</v>
      </c>
      <c r="W1080" s="744"/>
    </row>
    <row r="1081" spans="6:33" ht="24" customHeight="1">
      <c r="K1081" s="748" t="s">
        <v>1586</v>
      </c>
      <c r="W1081" s="744"/>
    </row>
    <row r="1082" spans="6:33" ht="24" customHeight="1">
      <c r="H1082" s="757" t="s">
        <v>552</v>
      </c>
      <c r="I1082" s="374" t="s">
        <v>975</v>
      </c>
      <c r="K1082" s="751">
        <f>K1080/F1074</f>
        <v>3597.23</v>
      </c>
      <c r="W1082" s="744"/>
    </row>
    <row r="1083" spans="6:33" ht="24" customHeight="1">
      <c r="K1083" s="748" t="s">
        <v>2055</v>
      </c>
      <c r="W1083" s="744"/>
    </row>
    <row r="1084" spans="6:33" ht="24" customHeight="1">
      <c r="F1084" s="744" t="s">
        <v>1614</v>
      </c>
      <c r="G1084" s="283" t="s">
        <v>2251</v>
      </c>
      <c r="H1084" s="374" t="s">
        <v>1339</v>
      </c>
      <c r="W1084" s="744"/>
    </row>
    <row r="1085" spans="6:33" ht="24" customHeight="1">
      <c r="H1085" s="374" t="s">
        <v>709</v>
      </c>
      <c r="N1085" s="374" t="s">
        <v>255</v>
      </c>
      <c r="W1085" s="744"/>
    </row>
    <row r="1086" spans="6:33" ht="24" customHeight="1">
      <c r="H1086" s="748" t="s">
        <v>1586</v>
      </c>
      <c r="N1086" s="374" t="s">
        <v>256</v>
      </c>
      <c r="W1086" s="744"/>
    </row>
    <row r="1087" spans="6:33" ht="24" customHeight="1">
      <c r="F1087" s="797">
        <v>5.4000000000000003E-3</v>
      </c>
      <c r="G1087" s="283" t="s">
        <v>1341</v>
      </c>
      <c r="H1087" s="374" t="s">
        <v>1342</v>
      </c>
      <c r="I1087" s="283">
        <f>C90</f>
        <v>99400</v>
      </c>
      <c r="J1087" s="374" t="s">
        <v>869</v>
      </c>
      <c r="K1087" s="283">
        <f t="shared" ref="K1087:K1094" si="150">(F1087*I1087)</f>
        <v>536.76</v>
      </c>
      <c r="N1087" s="374" t="s">
        <v>1739</v>
      </c>
      <c r="W1087" s="744"/>
    </row>
    <row r="1088" spans="6:33" ht="24" customHeight="1">
      <c r="F1088" s="797">
        <v>0.23871000000000001</v>
      </c>
      <c r="G1088" s="283" t="s">
        <v>609</v>
      </c>
      <c r="H1088" s="374" t="str">
        <f>H1073</f>
        <v>frosted glass 4mmthick</v>
      </c>
      <c r="I1088" s="283">
        <f>I1073</f>
        <v>208.8</v>
      </c>
      <c r="J1088" s="374" t="s">
        <v>869</v>
      </c>
      <c r="K1088" s="283">
        <f t="shared" si="150"/>
        <v>49.84</v>
      </c>
      <c r="W1088" s="744"/>
    </row>
    <row r="1089" spans="6:23" ht="24" customHeight="1">
      <c r="F1089" s="797">
        <v>0.36199999999999999</v>
      </c>
      <c r="G1089" s="283" t="s">
        <v>609</v>
      </c>
      <c r="H1089" s="374" t="s">
        <v>2092</v>
      </c>
      <c r="I1089" s="283">
        <f>D31</f>
        <v>1436</v>
      </c>
      <c r="J1089" s="374" t="s">
        <v>609</v>
      </c>
      <c r="K1089" s="283">
        <f t="shared" si="150"/>
        <v>519.83000000000004</v>
      </c>
      <c r="W1089" s="744"/>
    </row>
    <row r="1090" spans="6:23" ht="24" customHeight="1">
      <c r="F1090" s="283">
        <v>3</v>
      </c>
      <c r="G1090" s="283" t="s">
        <v>868</v>
      </c>
      <c r="H1090" s="374" t="s">
        <v>1343</v>
      </c>
      <c r="I1090" s="283">
        <f>C283</f>
        <v>49.35</v>
      </c>
      <c r="J1090" s="374" t="s">
        <v>868</v>
      </c>
      <c r="K1090" s="283">
        <f t="shared" si="150"/>
        <v>148.05000000000001</v>
      </c>
      <c r="M1090" s="782">
        <v>2.2800000000000001E-2</v>
      </c>
      <c r="N1090" s="283" t="s">
        <v>869</v>
      </c>
      <c r="O1090" s="374" t="s">
        <v>308</v>
      </c>
      <c r="P1090" s="283">
        <f>I1054</f>
        <v>111600</v>
      </c>
      <c r="Q1090" s="374" t="s">
        <v>869</v>
      </c>
      <c r="R1090" s="283">
        <f>P1090*M1090</f>
        <v>2544.48</v>
      </c>
      <c r="W1090" s="744"/>
    </row>
    <row r="1091" spans="6:23" ht="24" customHeight="1">
      <c r="F1091" s="283">
        <v>2</v>
      </c>
      <c r="G1091" s="283" t="s">
        <v>868</v>
      </c>
      <c r="H1091" s="374" t="s">
        <v>2107</v>
      </c>
      <c r="I1091" s="283">
        <f>C286</f>
        <v>39.700000000000003</v>
      </c>
      <c r="J1091" s="374" t="s">
        <v>868</v>
      </c>
      <c r="K1091" s="283">
        <f t="shared" si="150"/>
        <v>79.400000000000006</v>
      </c>
      <c r="M1091" s="782">
        <v>4.2999999999999997E-2</v>
      </c>
      <c r="N1091" s="283" t="s">
        <v>869</v>
      </c>
      <c r="O1091" s="374" t="s">
        <v>309</v>
      </c>
      <c r="P1091" s="283">
        <f>I1055</f>
        <v>99400</v>
      </c>
      <c r="Q1091" s="374" t="s">
        <v>869</v>
      </c>
      <c r="R1091" s="283">
        <f t="shared" ref="R1091:R1101" si="151">P1091*M1091</f>
        <v>4274.2</v>
      </c>
      <c r="W1091" s="744"/>
    </row>
    <row r="1092" spans="6:23" ht="24" customHeight="1">
      <c r="F1092" s="283">
        <v>1</v>
      </c>
      <c r="G1092" s="283" t="s">
        <v>868</v>
      </c>
      <c r="H1092" s="374" t="s">
        <v>2108</v>
      </c>
      <c r="I1092" s="283">
        <f>I1077</f>
        <v>7.3</v>
      </c>
      <c r="J1092" s="374" t="s">
        <v>868</v>
      </c>
      <c r="K1092" s="283">
        <f t="shared" si="150"/>
        <v>7.3</v>
      </c>
      <c r="M1092" s="782">
        <v>4.0800000000000003E-2</v>
      </c>
      <c r="N1092" s="283" t="s">
        <v>869</v>
      </c>
      <c r="O1092" s="374" t="s">
        <v>310</v>
      </c>
      <c r="P1092" s="283">
        <f>I1018</f>
        <v>95000</v>
      </c>
      <c r="Q1092" s="374" t="s">
        <v>869</v>
      </c>
      <c r="R1092" s="283">
        <f t="shared" si="151"/>
        <v>3876</v>
      </c>
      <c r="W1092" s="744"/>
    </row>
    <row r="1093" spans="6:23" ht="24" customHeight="1">
      <c r="F1093" s="283">
        <v>1</v>
      </c>
      <c r="G1093" s="283" t="s">
        <v>868</v>
      </c>
      <c r="H1093" s="374" t="s">
        <v>2109</v>
      </c>
      <c r="I1093" s="283">
        <f>C293</f>
        <v>8.9</v>
      </c>
      <c r="J1093" s="374" t="s">
        <v>868</v>
      </c>
      <c r="K1093" s="283">
        <f t="shared" si="150"/>
        <v>8.9</v>
      </c>
      <c r="M1093" s="782"/>
      <c r="O1093" s="374" t="s">
        <v>945</v>
      </c>
      <c r="Q1093" s="374"/>
      <c r="R1093" s="283">
        <f t="shared" si="151"/>
        <v>0</v>
      </c>
      <c r="W1093" s="744"/>
    </row>
    <row r="1094" spans="6:23" ht="24" customHeight="1">
      <c r="F1094" s="283">
        <v>10</v>
      </c>
      <c r="H1094" s="374" t="s">
        <v>1141</v>
      </c>
      <c r="I1094" s="283">
        <f>I1079</f>
        <v>2.41</v>
      </c>
      <c r="J1094" s="374" t="s">
        <v>868</v>
      </c>
      <c r="K1094" s="283">
        <f t="shared" si="150"/>
        <v>24.1</v>
      </c>
      <c r="M1094" s="782">
        <v>3.4424999999999999</v>
      </c>
      <c r="N1094" s="283" t="s">
        <v>609</v>
      </c>
      <c r="O1094" s="374" t="s">
        <v>447</v>
      </c>
      <c r="P1094" s="283">
        <f>I1020</f>
        <v>1537</v>
      </c>
      <c r="Q1094" s="374" t="s">
        <v>609</v>
      </c>
      <c r="R1094" s="283">
        <f t="shared" si="151"/>
        <v>5291.12</v>
      </c>
      <c r="W1094" s="744"/>
    </row>
    <row r="1095" spans="6:23" ht="24" customHeight="1">
      <c r="K1095" s="748" t="s">
        <v>1586</v>
      </c>
      <c r="M1095" s="283">
        <v>2</v>
      </c>
      <c r="N1095" s="283" t="s">
        <v>769</v>
      </c>
      <c r="O1095" s="374" t="s">
        <v>1136</v>
      </c>
      <c r="P1095" s="283">
        <f t="shared" ref="P1095:P1100" si="152">I1021</f>
        <v>57.65</v>
      </c>
      <c r="Q1095" s="374" t="s">
        <v>868</v>
      </c>
      <c r="R1095" s="283">
        <f t="shared" si="151"/>
        <v>115.3</v>
      </c>
      <c r="W1095" s="744"/>
    </row>
    <row r="1096" spans="6:23" ht="24" customHeight="1">
      <c r="H1096" s="744" t="s">
        <v>889</v>
      </c>
      <c r="K1096" s="283">
        <f>SUM(K1083:K1094)</f>
        <v>1374.18</v>
      </c>
      <c r="M1096" s="283">
        <v>6</v>
      </c>
      <c r="N1096" s="283" t="s">
        <v>868</v>
      </c>
      <c r="O1096" s="374" t="s">
        <v>1464</v>
      </c>
      <c r="P1096" s="283">
        <f t="shared" si="152"/>
        <v>89.6</v>
      </c>
      <c r="Q1096" s="374" t="s">
        <v>868</v>
      </c>
      <c r="R1096" s="283">
        <f t="shared" si="151"/>
        <v>537.6</v>
      </c>
      <c r="W1096" s="744"/>
    </row>
    <row r="1097" spans="6:23" ht="24" customHeight="1">
      <c r="K1097" s="748" t="s">
        <v>1586</v>
      </c>
      <c r="M1097" s="283">
        <v>4</v>
      </c>
      <c r="N1097" s="283" t="s">
        <v>868</v>
      </c>
      <c r="O1097" s="374" t="s">
        <v>1465</v>
      </c>
      <c r="P1097" s="283">
        <f t="shared" si="152"/>
        <v>64.8</v>
      </c>
      <c r="Q1097" s="374" t="s">
        <v>868</v>
      </c>
      <c r="R1097" s="283">
        <f t="shared" si="151"/>
        <v>259.2</v>
      </c>
      <c r="W1097" s="744"/>
    </row>
    <row r="1098" spans="6:23" ht="24" customHeight="1">
      <c r="H1098" s="757" t="s">
        <v>552</v>
      </c>
      <c r="I1098" s="374" t="s">
        <v>975</v>
      </c>
      <c r="K1098" s="751">
        <f>K1096/F1089</f>
        <v>3796.08</v>
      </c>
      <c r="M1098" s="283">
        <v>1</v>
      </c>
      <c r="N1098" s="283" t="s">
        <v>868</v>
      </c>
      <c r="O1098" s="374" t="s">
        <v>1466</v>
      </c>
      <c r="P1098" s="283">
        <f t="shared" si="152"/>
        <v>181</v>
      </c>
      <c r="Q1098" s="374" t="s">
        <v>868</v>
      </c>
      <c r="R1098" s="283">
        <f t="shared" si="151"/>
        <v>181</v>
      </c>
      <c r="W1098" s="744"/>
    </row>
    <row r="1099" spans="6:23" ht="24" customHeight="1">
      <c r="K1099" s="748" t="s">
        <v>2055</v>
      </c>
      <c r="M1099" s="283">
        <v>2</v>
      </c>
      <c r="N1099" s="283" t="s">
        <v>868</v>
      </c>
      <c r="O1099" s="374" t="s">
        <v>1467</v>
      </c>
      <c r="P1099" s="283">
        <f t="shared" si="152"/>
        <v>7.3</v>
      </c>
      <c r="Q1099" s="374" t="s">
        <v>868</v>
      </c>
      <c r="R1099" s="283">
        <f t="shared" si="151"/>
        <v>14.6</v>
      </c>
      <c r="W1099" s="744"/>
    </row>
    <row r="1100" spans="6:23" ht="24" customHeight="1">
      <c r="F1100" s="744" t="s">
        <v>1615</v>
      </c>
      <c r="G1100" s="283" t="s">
        <v>2251</v>
      </c>
      <c r="H1100" s="374" t="s">
        <v>890</v>
      </c>
      <c r="M1100" s="283">
        <v>2</v>
      </c>
      <c r="N1100" s="283" t="s">
        <v>868</v>
      </c>
      <c r="O1100" s="374" t="s">
        <v>1982</v>
      </c>
      <c r="P1100" s="283">
        <f t="shared" si="152"/>
        <v>49.55</v>
      </c>
      <c r="Q1100" s="374" t="s">
        <v>868</v>
      </c>
      <c r="R1100" s="283">
        <f t="shared" si="151"/>
        <v>99.1</v>
      </c>
      <c r="W1100" s="744"/>
    </row>
    <row r="1101" spans="6:23" ht="24" customHeight="1">
      <c r="H1101" s="374" t="s">
        <v>1994</v>
      </c>
      <c r="M1101" s="283">
        <v>10</v>
      </c>
      <c r="O1101" s="374" t="s">
        <v>1742</v>
      </c>
      <c r="P1101" s="283">
        <f>P1075</f>
        <v>2.41</v>
      </c>
      <c r="Q1101" s="374"/>
      <c r="R1101" s="283">
        <f t="shared" si="151"/>
        <v>24.1</v>
      </c>
      <c r="W1101" s="744"/>
    </row>
    <row r="1102" spans="6:23" ht="24" customHeight="1">
      <c r="H1102" s="748" t="s">
        <v>1586</v>
      </c>
      <c r="O1102" s="374" t="s">
        <v>2153</v>
      </c>
      <c r="Q1102" s="374"/>
      <c r="R1102" s="283">
        <f>SUM(R1090:R1101)+0.31</f>
        <v>17217.009999999998</v>
      </c>
      <c r="W1102" s="744"/>
    </row>
    <row r="1103" spans="6:23" ht="24" customHeight="1">
      <c r="F1103" s="797">
        <v>5.3E-3</v>
      </c>
      <c r="G1103" s="283" t="s">
        <v>1341</v>
      </c>
      <c r="H1103" s="374" t="s">
        <v>1342</v>
      </c>
      <c r="I1103" s="283">
        <f>C90</f>
        <v>99400</v>
      </c>
      <c r="J1103" s="374" t="s">
        <v>869</v>
      </c>
      <c r="K1103" s="283">
        <f t="shared" ref="K1103:K1109" si="153">(F1103*I1103)</f>
        <v>526.82000000000005</v>
      </c>
      <c r="Q1103" s="374"/>
      <c r="R1103" s="748" t="s">
        <v>1586</v>
      </c>
      <c r="W1103" s="744"/>
    </row>
    <row r="1104" spans="6:23" ht="24" customHeight="1">
      <c r="F1104" s="797">
        <v>0.27450000000000002</v>
      </c>
      <c r="G1104" s="283" t="s">
        <v>609</v>
      </c>
      <c r="H1104" s="374" t="str">
        <f>H1088</f>
        <v>frosted glass 4mmthick</v>
      </c>
      <c r="I1104" s="283">
        <f>I1073</f>
        <v>208.8</v>
      </c>
      <c r="J1104" s="374" t="s">
        <v>869</v>
      </c>
      <c r="K1104" s="283">
        <f t="shared" si="153"/>
        <v>57.32</v>
      </c>
      <c r="O1104" s="757" t="s">
        <v>552</v>
      </c>
      <c r="Q1104" s="374"/>
      <c r="R1104" s="751">
        <f>R1102/M1094</f>
        <v>5001.3100000000004</v>
      </c>
      <c r="W1104" s="744"/>
    </row>
    <row r="1105" spans="6:23" ht="24" customHeight="1">
      <c r="F1105" s="797">
        <v>0.4</v>
      </c>
      <c r="G1105" s="283" t="s">
        <v>609</v>
      </c>
      <c r="H1105" s="374" t="s">
        <v>2092</v>
      </c>
      <c r="I1105" s="283">
        <f>D32</f>
        <v>1197</v>
      </c>
      <c r="J1105" s="374" t="s">
        <v>609</v>
      </c>
      <c r="K1105" s="283">
        <f t="shared" si="153"/>
        <v>478.8</v>
      </c>
      <c r="Q1105" s="374"/>
      <c r="R1105" s="748" t="s">
        <v>2055</v>
      </c>
      <c r="W1105" s="744"/>
    </row>
    <row r="1106" spans="6:23" ht="24" customHeight="1">
      <c r="F1106" s="283">
        <v>2</v>
      </c>
      <c r="G1106" s="283" t="s">
        <v>1995</v>
      </c>
      <c r="H1106" s="374" t="s">
        <v>1996</v>
      </c>
      <c r="I1106" s="283">
        <f>C306</f>
        <v>8.5</v>
      </c>
      <c r="J1106" s="374" t="s">
        <v>1995</v>
      </c>
      <c r="K1106" s="283">
        <f t="shared" si="153"/>
        <v>17</v>
      </c>
      <c r="W1106" s="744"/>
    </row>
    <row r="1107" spans="6:23" ht="24" customHeight="1">
      <c r="F1107" s="283">
        <v>1</v>
      </c>
      <c r="G1107" s="283" t="s">
        <v>868</v>
      </c>
      <c r="H1107" s="374" t="s">
        <v>1997</v>
      </c>
      <c r="I1107" s="283">
        <f>C294</f>
        <v>6.1</v>
      </c>
      <c r="J1107" s="374" t="s">
        <v>868</v>
      </c>
      <c r="K1107" s="283">
        <f t="shared" si="153"/>
        <v>6.1</v>
      </c>
      <c r="W1107" s="744"/>
    </row>
    <row r="1108" spans="6:23" ht="24" customHeight="1">
      <c r="F1108" s="283">
        <v>1</v>
      </c>
      <c r="G1108" s="283" t="s">
        <v>868</v>
      </c>
      <c r="H1108" s="374" t="s">
        <v>1998</v>
      </c>
      <c r="I1108" s="283">
        <f>C292</f>
        <v>11.8</v>
      </c>
      <c r="J1108" s="374" t="s">
        <v>868</v>
      </c>
      <c r="K1108" s="283">
        <f t="shared" si="153"/>
        <v>11.8</v>
      </c>
      <c r="O1108" s="374" t="s">
        <v>1741</v>
      </c>
      <c r="W1108" s="744"/>
    </row>
    <row r="1109" spans="6:23" ht="24" customHeight="1">
      <c r="F1109" s="283">
        <v>10</v>
      </c>
      <c r="H1109" s="374" t="s">
        <v>1141</v>
      </c>
      <c r="I1109" s="283">
        <f>I1094</f>
        <v>2.41</v>
      </c>
      <c r="J1109" s="374" t="s">
        <v>868</v>
      </c>
      <c r="K1109" s="283">
        <f t="shared" si="153"/>
        <v>24.1</v>
      </c>
      <c r="W1109" s="744"/>
    </row>
    <row r="1110" spans="6:23" ht="24" customHeight="1">
      <c r="K1110" s="748" t="s">
        <v>1586</v>
      </c>
      <c r="W1110" s="744"/>
    </row>
    <row r="1111" spans="6:23" ht="24" customHeight="1">
      <c r="H1111" s="744" t="s">
        <v>34</v>
      </c>
      <c r="K1111" s="283">
        <f>SUM(K1099:K1109)</f>
        <v>1121.94</v>
      </c>
      <c r="W1111" s="744"/>
    </row>
    <row r="1112" spans="6:23" ht="24" customHeight="1">
      <c r="K1112" s="748" t="s">
        <v>1586</v>
      </c>
      <c r="M1112" s="783">
        <v>2.2800000000000001E-2</v>
      </c>
      <c r="N1112" s="283" t="s">
        <v>869</v>
      </c>
      <c r="O1112" s="283" t="s">
        <v>3124</v>
      </c>
      <c r="P1112" s="283">
        <f>P1090</f>
        <v>111600</v>
      </c>
      <c r="Q1112" s="374" t="s">
        <v>869</v>
      </c>
      <c r="R1112" s="283">
        <f>P1112*M1112</f>
        <v>2544.48</v>
      </c>
      <c r="W1112" s="744"/>
    </row>
    <row r="1113" spans="6:23" ht="24" customHeight="1">
      <c r="H1113" s="757" t="s">
        <v>552</v>
      </c>
      <c r="I1113" s="374" t="s">
        <v>975</v>
      </c>
      <c r="K1113" s="751">
        <f>K1111/F1105</f>
        <v>2804.85</v>
      </c>
      <c r="M1113" s="783">
        <v>3.5400000000000001E-2</v>
      </c>
      <c r="N1113" s="283" t="s">
        <v>869</v>
      </c>
      <c r="O1113" s="283" t="s">
        <v>2488</v>
      </c>
      <c r="P1113" s="283">
        <f>P1091</f>
        <v>99400</v>
      </c>
      <c r="Q1113" s="374" t="s">
        <v>869</v>
      </c>
      <c r="R1113" s="283">
        <f t="shared" ref="R1113:R1122" si="154">P1113*M1113</f>
        <v>3518.76</v>
      </c>
      <c r="W1113" s="744"/>
    </row>
    <row r="1114" spans="6:23" ht="24" customHeight="1">
      <c r="F1114" s="374" t="s">
        <v>975</v>
      </c>
      <c r="M1114" s="782">
        <v>3.2300000000000002E-2</v>
      </c>
      <c r="N1114" s="283" t="s">
        <v>869</v>
      </c>
      <c r="O1114" s="283" t="s">
        <v>937</v>
      </c>
      <c r="P1114" s="283">
        <f>P1092</f>
        <v>95000</v>
      </c>
      <c r="Q1114" s="374" t="s">
        <v>869</v>
      </c>
      <c r="R1114" s="283">
        <f t="shared" si="154"/>
        <v>3068.5</v>
      </c>
      <c r="W1114" s="744"/>
    </row>
    <row r="1115" spans="6:23" ht="24" customHeight="1">
      <c r="K1115" s="748" t="s">
        <v>2055</v>
      </c>
      <c r="M1115" s="746">
        <v>2.835</v>
      </c>
      <c r="N1115" s="283" t="s">
        <v>609</v>
      </c>
      <c r="O1115" s="283" t="s">
        <v>883</v>
      </c>
      <c r="P1115" s="283">
        <f t="shared" ref="P1115:P1121" si="155">P1094</f>
        <v>1537</v>
      </c>
      <c r="Q1115" s="374" t="s">
        <v>609</v>
      </c>
      <c r="R1115" s="283">
        <f t="shared" si="154"/>
        <v>4357.3999999999996</v>
      </c>
      <c r="W1115" s="744"/>
    </row>
    <row r="1116" spans="6:23" ht="24" customHeight="1">
      <c r="F1116" s="765">
        <v>22.3</v>
      </c>
      <c r="H1116" s="374" t="s">
        <v>1999</v>
      </c>
      <c r="L1116" s="374" t="s">
        <v>975</v>
      </c>
      <c r="M1116" s="283">
        <v>2</v>
      </c>
      <c r="N1116" s="283" t="s">
        <v>1873</v>
      </c>
      <c r="O1116" s="283" t="s">
        <v>2123</v>
      </c>
      <c r="P1116" s="283">
        <f t="shared" si="155"/>
        <v>57.65</v>
      </c>
      <c r="Q1116" s="374" t="s">
        <v>1398</v>
      </c>
      <c r="R1116" s="283">
        <f t="shared" si="154"/>
        <v>115.3</v>
      </c>
      <c r="W1116" s="744"/>
    </row>
    <row r="1117" spans="6:23" ht="24" customHeight="1">
      <c r="H1117" s="748" t="s">
        <v>1586</v>
      </c>
      <c r="I1117" s="748" t="s">
        <v>1586</v>
      </c>
      <c r="J1117" s="374" t="s">
        <v>1586</v>
      </c>
      <c r="M1117" s="283">
        <v>6</v>
      </c>
      <c r="N1117" s="283" t="s">
        <v>1873</v>
      </c>
      <c r="O1117" s="283" t="s">
        <v>1098</v>
      </c>
      <c r="P1117" s="283">
        <f t="shared" si="155"/>
        <v>89.6</v>
      </c>
      <c r="Q1117" s="374" t="s">
        <v>1398</v>
      </c>
      <c r="R1117" s="283">
        <f t="shared" si="154"/>
        <v>537.6</v>
      </c>
      <c r="W1117" s="744"/>
    </row>
    <row r="1118" spans="6:23" ht="24" customHeight="1">
      <c r="M1118" s="283">
        <v>4</v>
      </c>
      <c r="N1118" s="283" t="s">
        <v>1873</v>
      </c>
      <c r="O1118" s="283" t="s">
        <v>1348</v>
      </c>
      <c r="P1118" s="283">
        <f t="shared" si="155"/>
        <v>64.8</v>
      </c>
      <c r="Q1118" s="374" t="s">
        <v>1398</v>
      </c>
      <c r="R1118" s="283">
        <f t="shared" si="154"/>
        <v>259.2</v>
      </c>
      <c r="W1118" s="744"/>
    </row>
    <row r="1119" spans="6:23" ht="24" customHeight="1">
      <c r="H1119" s="374" t="s">
        <v>2000</v>
      </c>
      <c r="M1119" s="283">
        <v>1</v>
      </c>
      <c r="N1119" s="283" t="s">
        <v>1873</v>
      </c>
      <c r="O1119" s="283" t="s">
        <v>1349</v>
      </c>
      <c r="P1119" s="283">
        <f t="shared" si="155"/>
        <v>181</v>
      </c>
      <c r="Q1119" s="374" t="s">
        <v>1398</v>
      </c>
      <c r="R1119" s="283">
        <f t="shared" si="154"/>
        <v>181</v>
      </c>
      <c r="W1119" s="744"/>
    </row>
    <row r="1120" spans="6:23" ht="24" customHeight="1">
      <c r="H1120" s="374" t="s">
        <v>2001</v>
      </c>
      <c r="M1120" s="283">
        <v>2</v>
      </c>
      <c r="N1120" s="283" t="s">
        <v>1873</v>
      </c>
      <c r="O1120" s="283" t="s">
        <v>1980</v>
      </c>
      <c r="P1120" s="283">
        <f t="shared" si="155"/>
        <v>7.3</v>
      </c>
      <c r="Q1120" s="374" t="s">
        <v>1398</v>
      </c>
      <c r="R1120" s="283">
        <f t="shared" si="154"/>
        <v>14.6</v>
      </c>
      <c r="W1120" s="744"/>
    </row>
    <row r="1121" spans="6:62" ht="24" customHeight="1">
      <c r="H1121" s="374" t="s">
        <v>454</v>
      </c>
      <c r="M1121" s="283">
        <v>2</v>
      </c>
      <c r="N1121" s="283" t="s">
        <v>1873</v>
      </c>
      <c r="O1121" s="283" t="s">
        <v>1982</v>
      </c>
      <c r="P1121" s="283">
        <f t="shared" si="155"/>
        <v>49.55</v>
      </c>
      <c r="Q1121" s="374" t="s">
        <v>1398</v>
      </c>
      <c r="R1121" s="283">
        <f t="shared" si="154"/>
        <v>99.1</v>
      </c>
      <c r="W1121" s="744"/>
    </row>
    <row r="1122" spans="6:62" ht="24" customHeight="1">
      <c r="H1122" s="374" t="s">
        <v>455</v>
      </c>
      <c r="M1122" s="283">
        <v>118</v>
      </c>
      <c r="O1122" s="374" t="s">
        <v>1742</v>
      </c>
      <c r="P1122" s="283">
        <f>P1101</f>
        <v>2.41</v>
      </c>
      <c r="Q1122" s="374"/>
      <c r="R1122" s="283">
        <f t="shared" si="154"/>
        <v>284.38</v>
      </c>
      <c r="W1122" s="744"/>
    </row>
    <row r="1123" spans="6:62" ht="24" customHeight="1">
      <c r="H1123" s="374" t="s">
        <v>456</v>
      </c>
      <c r="N1123" s="751"/>
      <c r="O1123" s="751" t="s">
        <v>552</v>
      </c>
      <c r="Q1123" s="374"/>
      <c r="R1123" s="751">
        <f>SUM(R1112:R1122)</f>
        <v>14980.32</v>
      </c>
      <c r="W1123" s="744"/>
    </row>
    <row r="1124" spans="6:62" ht="24" customHeight="1">
      <c r="J1124" s="374" t="s">
        <v>975</v>
      </c>
      <c r="K1124" s="782">
        <v>3.32E-2</v>
      </c>
      <c r="N1124" s="751"/>
      <c r="O1124" s="751"/>
      <c r="Q1124" s="374"/>
      <c r="R1124" s="785" t="s">
        <v>146</v>
      </c>
      <c r="W1124" s="744"/>
      <c r="BJ1124" s="283" t="s">
        <v>2030</v>
      </c>
    </row>
    <row r="1125" spans="6:62" ht="24" customHeight="1">
      <c r="H1125" s="374" t="s">
        <v>2156</v>
      </c>
      <c r="J1125" s="796" t="s">
        <v>975</v>
      </c>
      <c r="K1125" s="796" t="s">
        <v>975</v>
      </c>
      <c r="N1125" s="751"/>
      <c r="O1125" s="751" t="s">
        <v>2082</v>
      </c>
      <c r="Q1125" s="374"/>
      <c r="R1125" s="751">
        <f>R1123/2.835</f>
        <v>5284.06</v>
      </c>
      <c r="W1125" s="744"/>
    </row>
    <row r="1126" spans="6:62" ht="24" customHeight="1">
      <c r="H1126" s="374" t="s">
        <v>1830</v>
      </c>
      <c r="K1126" s="796" t="s">
        <v>975</v>
      </c>
      <c r="N1126" s="751"/>
      <c r="Q1126" s="374"/>
      <c r="R1126" s="785" t="s">
        <v>146</v>
      </c>
      <c r="W1126" s="744"/>
    </row>
    <row r="1127" spans="6:62" ht="24" customHeight="1">
      <c r="W1127" s="744"/>
    </row>
    <row r="1128" spans="6:62" ht="24" customHeight="1">
      <c r="F1128" s="797">
        <v>1.18E-2</v>
      </c>
      <c r="G1128" s="283" t="s">
        <v>869</v>
      </c>
      <c r="H1128" s="374" t="s">
        <v>692</v>
      </c>
      <c r="I1128" s="283">
        <f>C89</f>
        <v>111600</v>
      </c>
      <c r="J1128" s="374" t="s">
        <v>869</v>
      </c>
      <c r="K1128" s="283">
        <f t="shared" ref="K1128:K1137" si="156">(F1128*I1128)</f>
        <v>1316.88</v>
      </c>
      <c r="W1128" s="744"/>
    </row>
    <row r="1129" spans="6:62" ht="24" customHeight="1">
      <c r="F1129" s="797">
        <v>3.32E-2</v>
      </c>
      <c r="G1129" s="283" t="s">
        <v>869</v>
      </c>
      <c r="H1129" s="374" t="s">
        <v>693</v>
      </c>
      <c r="I1129" s="283">
        <f>C90</f>
        <v>99400</v>
      </c>
      <c r="J1129" s="374" t="s">
        <v>869</v>
      </c>
      <c r="K1129" s="283">
        <f t="shared" si="156"/>
        <v>3300.08</v>
      </c>
      <c r="W1129" s="744"/>
    </row>
    <row r="1130" spans="6:62" ht="24" customHeight="1">
      <c r="F1130" s="797">
        <v>1.8550000000000001E-2</v>
      </c>
      <c r="G1130" s="283" t="s">
        <v>869</v>
      </c>
      <c r="H1130" s="374" t="s">
        <v>886</v>
      </c>
      <c r="I1130" s="283">
        <f>C30</f>
        <v>13690</v>
      </c>
      <c r="J1130" s="374" t="s">
        <v>869</v>
      </c>
      <c r="K1130" s="283">
        <f t="shared" si="156"/>
        <v>253.95</v>
      </c>
      <c r="W1130" s="744"/>
    </row>
    <row r="1131" spans="6:62" ht="24" customHeight="1">
      <c r="F1131" s="797">
        <v>1.46</v>
      </c>
      <c r="G1131" s="283" t="s">
        <v>609</v>
      </c>
      <c r="H1131" s="374" t="s">
        <v>887</v>
      </c>
      <c r="I1131" s="283">
        <v>269.10000000000002</v>
      </c>
      <c r="J1131" s="374" t="s">
        <v>609</v>
      </c>
      <c r="K1131" s="283">
        <f t="shared" si="156"/>
        <v>392.89</v>
      </c>
      <c r="W1131" s="744"/>
    </row>
    <row r="1132" spans="6:62" ht="24" customHeight="1">
      <c r="F1132" s="797">
        <v>2.0499999999999998</v>
      </c>
      <c r="G1132" s="283" t="s">
        <v>609</v>
      </c>
      <c r="H1132" s="374" t="s">
        <v>1506</v>
      </c>
      <c r="I1132" s="283">
        <f>D30</f>
        <v>1281</v>
      </c>
      <c r="J1132" s="374" t="s">
        <v>609</v>
      </c>
      <c r="K1132" s="283">
        <f t="shared" si="156"/>
        <v>2626.05</v>
      </c>
      <c r="W1132" s="744"/>
    </row>
    <row r="1133" spans="6:62" ht="24" customHeight="1">
      <c r="F1133" s="283">
        <v>2</v>
      </c>
      <c r="G1133" s="283" t="s">
        <v>868</v>
      </c>
      <c r="H1133" s="374" t="s">
        <v>1507</v>
      </c>
      <c r="I1133" s="283">
        <f>C286</f>
        <v>39.700000000000003</v>
      </c>
      <c r="J1133" s="374" t="s">
        <v>868</v>
      </c>
      <c r="K1133" s="283">
        <f t="shared" si="156"/>
        <v>79.400000000000006</v>
      </c>
      <c r="W1133" s="744"/>
    </row>
    <row r="1134" spans="6:62" ht="24" customHeight="1">
      <c r="F1134" s="283">
        <v>6</v>
      </c>
      <c r="G1134" s="283" t="s">
        <v>868</v>
      </c>
      <c r="H1134" s="374" t="s">
        <v>1343</v>
      </c>
      <c r="I1134" s="283">
        <f>C283</f>
        <v>49.35</v>
      </c>
      <c r="J1134" s="374" t="s">
        <v>868</v>
      </c>
      <c r="K1134" s="283">
        <f t="shared" si="156"/>
        <v>296.10000000000002</v>
      </c>
      <c r="W1134" s="744"/>
    </row>
    <row r="1135" spans="6:62" ht="24" customHeight="1">
      <c r="F1135" s="283">
        <v>2</v>
      </c>
      <c r="G1135" s="283" t="s">
        <v>868</v>
      </c>
      <c r="H1135" s="374" t="s">
        <v>5306</v>
      </c>
      <c r="I1135" s="283">
        <v>60.9</v>
      </c>
      <c r="J1135" s="374" t="s">
        <v>868</v>
      </c>
      <c r="K1135" s="283">
        <f t="shared" si="156"/>
        <v>121.8</v>
      </c>
      <c r="W1135" s="744"/>
    </row>
    <row r="1136" spans="6:62" ht="24" customHeight="1">
      <c r="F1136" s="283">
        <v>1</v>
      </c>
      <c r="G1136" s="283" t="s">
        <v>868</v>
      </c>
      <c r="H1136" s="283" t="s">
        <v>4234</v>
      </c>
      <c r="I1136" s="283">
        <v>63.2</v>
      </c>
      <c r="J1136" s="374" t="s">
        <v>868</v>
      </c>
      <c r="K1136" s="283">
        <f t="shared" si="156"/>
        <v>63.2</v>
      </c>
      <c r="W1136" s="744"/>
    </row>
    <row r="1137" spans="6:23" ht="24" customHeight="1">
      <c r="F1137" s="283">
        <v>2.52</v>
      </c>
      <c r="G1137" s="283" t="s">
        <v>609</v>
      </c>
      <c r="H1137" s="374" t="s">
        <v>1713</v>
      </c>
      <c r="I1137" s="283">
        <f>K1168</f>
        <v>194.22</v>
      </c>
      <c r="J1137" s="374" t="s">
        <v>609</v>
      </c>
      <c r="K1137" s="283">
        <f t="shared" si="156"/>
        <v>489.43</v>
      </c>
      <c r="W1137" s="744"/>
    </row>
    <row r="1138" spans="6:23" ht="24" customHeight="1">
      <c r="H1138" s="374" t="s">
        <v>1414</v>
      </c>
      <c r="I1138" s="744" t="s">
        <v>449</v>
      </c>
      <c r="K1138" s="283">
        <v>0.21</v>
      </c>
      <c r="W1138" s="744"/>
    </row>
    <row r="1139" spans="6:23" ht="24" customHeight="1">
      <c r="K1139" s="748" t="s">
        <v>1586</v>
      </c>
      <c r="W1139" s="744"/>
    </row>
    <row r="1140" spans="6:23" ht="24" customHeight="1">
      <c r="H1140" s="744" t="s">
        <v>1415</v>
      </c>
      <c r="K1140" s="283">
        <f>SUM(K1128:K1138)</f>
        <v>8939.99</v>
      </c>
      <c r="M1140" s="751" t="s">
        <v>3581</v>
      </c>
      <c r="N1140" s="751"/>
      <c r="O1140" s="751"/>
      <c r="P1140" s="751"/>
      <c r="Q1140" s="751"/>
      <c r="R1140" s="751"/>
      <c r="S1140" s="751"/>
      <c r="W1140" s="744"/>
    </row>
    <row r="1141" spans="6:23" ht="24" customHeight="1">
      <c r="G1141" s="283" t="s">
        <v>975</v>
      </c>
      <c r="K1141" s="748" t="s">
        <v>1586</v>
      </c>
      <c r="O1141" s="748" t="s">
        <v>1586</v>
      </c>
      <c r="Q1141" s="374"/>
      <c r="W1141" s="744"/>
    </row>
    <row r="1142" spans="6:23" ht="24" customHeight="1">
      <c r="H1142" s="757" t="s">
        <v>552</v>
      </c>
      <c r="K1142" s="751">
        <f>K1140/2.52</f>
        <v>3547.62</v>
      </c>
      <c r="N1142" s="746">
        <v>0.45300000000000001</v>
      </c>
      <c r="O1142" s="374" t="s">
        <v>1411</v>
      </c>
      <c r="P1142" s="283">
        <f>C74</f>
        <v>1582.2</v>
      </c>
      <c r="Q1142" s="374" t="s">
        <v>869</v>
      </c>
      <c r="R1142" s="283">
        <f>P1142*N1142</f>
        <v>716.74</v>
      </c>
      <c r="W1142" s="744"/>
    </row>
    <row r="1143" spans="6:23" ht="24" customHeight="1">
      <c r="K1143" s="748" t="s">
        <v>2055</v>
      </c>
      <c r="N1143" s="746">
        <v>0.30199999999999999</v>
      </c>
      <c r="O1143" s="374" t="s">
        <v>3582</v>
      </c>
      <c r="P1143" s="283">
        <f>C72</f>
        <v>1109.2</v>
      </c>
      <c r="Q1143" s="374" t="str">
        <f>Q1142</f>
        <v>CUM</v>
      </c>
      <c r="R1143" s="283">
        <f t="shared" ref="R1143:R1148" si="157">P1143*N1143</f>
        <v>334.98</v>
      </c>
      <c r="W1143" s="744"/>
    </row>
    <row r="1144" spans="6:23" ht="24" customHeight="1">
      <c r="G1144" s="283" t="s">
        <v>2251</v>
      </c>
      <c r="H1144" s="374" t="s">
        <v>182</v>
      </c>
      <c r="N1144" s="283">
        <v>0.44</v>
      </c>
      <c r="O1144" s="374" t="s">
        <v>870</v>
      </c>
      <c r="P1144" s="283">
        <f>C79</f>
        <v>2074.06</v>
      </c>
      <c r="Q1144" s="374" t="s">
        <v>869</v>
      </c>
      <c r="R1144" s="283">
        <f t="shared" si="157"/>
        <v>912.59</v>
      </c>
      <c r="W1144" s="744"/>
    </row>
    <row r="1145" spans="6:23" ht="24" customHeight="1">
      <c r="H1145" s="748" t="s">
        <v>1586</v>
      </c>
      <c r="I1145" s="748" t="s">
        <v>1586</v>
      </c>
      <c r="N1145" s="283">
        <v>0.37</v>
      </c>
      <c r="O1145" s="374" t="s">
        <v>390</v>
      </c>
      <c r="P1145" s="283">
        <f>I809</f>
        <v>6040</v>
      </c>
      <c r="Q1145" s="374" t="s">
        <v>528</v>
      </c>
      <c r="R1145" s="283">
        <f t="shared" si="157"/>
        <v>2234.8000000000002</v>
      </c>
      <c r="W1145" s="744"/>
    </row>
    <row r="1146" spans="6:23" ht="24" customHeight="1">
      <c r="F1146" s="283">
        <v>0.77</v>
      </c>
      <c r="G1146" s="283" t="s">
        <v>183</v>
      </c>
      <c r="H1146" s="374" t="s">
        <v>184</v>
      </c>
      <c r="I1146" s="283">
        <f>C195</f>
        <v>271.2</v>
      </c>
      <c r="J1146" s="374" t="s">
        <v>183</v>
      </c>
      <c r="K1146" s="283">
        <f>(F1146*I1146)</f>
        <v>208.82</v>
      </c>
      <c r="N1146" s="283">
        <v>0.35</v>
      </c>
      <c r="O1146" s="374" t="s">
        <v>465</v>
      </c>
      <c r="P1146" s="283">
        <f>C11</f>
        <v>932</v>
      </c>
      <c r="Q1146" s="374" t="s">
        <v>868</v>
      </c>
      <c r="R1146" s="283">
        <f t="shared" si="157"/>
        <v>326.2</v>
      </c>
      <c r="W1146" s="744"/>
    </row>
    <row r="1147" spans="6:23" ht="24" customHeight="1">
      <c r="F1147" s="283">
        <v>0.61</v>
      </c>
      <c r="G1147" s="283" t="s">
        <v>183</v>
      </c>
      <c r="H1147" s="374" t="s">
        <v>185</v>
      </c>
      <c r="I1147" s="283">
        <f>C194</f>
        <v>25</v>
      </c>
      <c r="J1147" s="374" t="s">
        <v>183</v>
      </c>
      <c r="K1147" s="283">
        <f>(F1147*I1147)</f>
        <v>15.25</v>
      </c>
      <c r="N1147" s="283">
        <v>2.12</v>
      </c>
      <c r="O1147" s="374" t="s">
        <v>348</v>
      </c>
      <c r="P1147" s="283">
        <f>C12</f>
        <v>651</v>
      </c>
      <c r="Q1147" s="374" t="s">
        <v>868</v>
      </c>
      <c r="R1147" s="283">
        <f t="shared" si="157"/>
        <v>1380.12</v>
      </c>
      <c r="W1147" s="744"/>
    </row>
    <row r="1148" spans="6:23" ht="24" customHeight="1">
      <c r="F1148" s="283">
        <v>0.7</v>
      </c>
      <c r="G1148" s="283" t="s">
        <v>560</v>
      </c>
      <c r="H1148" s="374" t="s">
        <v>1514</v>
      </c>
      <c r="I1148" s="283">
        <f>C14</f>
        <v>797</v>
      </c>
      <c r="J1148" s="374" t="s">
        <v>1716</v>
      </c>
      <c r="K1148" s="283">
        <f>(F1148*I1148)</f>
        <v>557.9</v>
      </c>
      <c r="N1148" s="283">
        <v>3.53</v>
      </c>
      <c r="O1148" s="374" t="s">
        <v>1223</v>
      </c>
      <c r="P1148" s="283">
        <f>C13</f>
        <v>534</v>
      </c>
      <c r="Q1148" s="374" t="s">
        <v>868</v>
      </c>
      <c r="R1148" s="283">
        <f t="shared" si="157"/>
        <v>1885.02</v>
      </c>
      <c r="W1148" s="744"/>
    </row>
    <row r="1149" spans="6:23" ht="24" customHeight="1">
      <c r="H1149" s="374"/>
      <c r="O1149" s="374" t="s">
        <v>44</v>
      </c>
      <c r="Q1149" s="374"/>
      <c r="R1149" s="784">
        <f>K820</f>
        <v>94.2</v>
      </c>
      <c r="W1149" s="744"/>
    </row>
    <row r="1150" spans="6:23" ht="24" customHeight="1">
      <c r="F1150" s="283">
        <v>0.7</v>
      </c>
      <c r="G1150" s="283" t="s">
        <v>560</v>
      </c>
      <c r="H1150" s="374" t="s">
        <v>878</v>
      </c>
      <c r="I1150" s="283">
        <f>C12</f>
        <v>651</v>
      </c>
      <c r="J1150" s="374" t="s">
        <v>1716</v>
      </c>
      <c r="K1150" s="283">
        <f>(F1150*I1150)</f>
        <v>455.7</v>
      </c>
      <c r="M1150" s="790" t="s">
        <v>657</v>
      </c>
      <c r="O1150" s="283" t="s">
        <v>3466</v>
      </c>
      <c r="P1150" s="784">
        <f>V1135</f>
        <v>0</v>
      </c>
      <c r="R1150" s="283">
        <v>270</v>
      </c>
      <c r="W1150" s="744"/>
    </row>
    <row r="1151" spans="6:23" ht="43.5" customHeight="1">
      <c r="G1151" s="283" t="s">
        <v>449</v>
      </c>
      <c r="H1151" s="374" t="s">
        <v>1181</v>
      </c>
      <c r="J1151" s="374" t="s">
        <v>449</v>
      </c>
      <c r="K1151" s="283">
        <v>1.5</v>
      </c>
      <c r="M1151" s="790" t="s">
        <v>657</v>
      </c>
      <c r="O1151" s="283" t="s">
        <v>3467</v>
      </c>
      <c r="P1151" s="784">
        <f>V1136</f>
        <v>0</v>
      </c>
      <c r="R1151" s="283">
        <v>150</v>
      </c>
      <c r="W1151" s="744"/>
    </row>
    <row r="1152" spans="6:23" ht="24" customHeight="1">
      <c r="K1152" s="748" t="s">
        <v>1586</v>
      </c>
      <c r="M1152" s="790" t="s">
        <v>657</v>
      </c>
      <c r="O1152" s="283" t="s">
        <v>2271</v>
      </c>
      <c r="P1152" s="784">
        <f>V1137</f>
        <v>0</v>
      </c>
      <c r="R1152" s="283">
        <v>0.35</v>
      </c>
      <c r="W1152" s="744"/>
    </row>
    <row r="1153" spans="6:24" ht="24" customHeight="1">
      <c r="H1153" s="744" t="s">
        <v>1440</v>
      </c>
      <c r="K1153" s="283">
        <f>SUM(K1146:K1151)</f>
        <v>1239.17</v>
      </c>
      <c r="Q1153" s="374"/>
      <c r="R1153" s="283">
        <f>SUM(R1142:R1152)</f>
        <v>8305</v>
      </c>
      <c r="W1153" s="744"/>
    </row>
    <row r="1154" spans="6:24" ht="24" customHeight="1">
      <c r="K1154" s="748" t="s">
        <v>1586</v>
      </c>
      <c r="W1154" s="744"/>
      <c r="X1154" s="751">
        <f>SUM(X1142:X1153)</f>
        <v>0</v>
      </c>
    </row>
    <row r="1155" spans="6:24" ht="24" customHeight="1">
      <c r="H1155" s="757" t="s">
        <v>552</v>
      </c>
      <c r="K1155" s="751">
        <f>(K1153/10)</f>
        <v>123.92</v>
      </c>
      <c r="W1155" s="744"/>
    </row>
    <row r="1156" spans="6:24" ht="24" customHeight="1">
      <c r="K1156" s="748" t="s">
        <v>2055</v>
      </c>
      <c r="Q1156" s="374"/>
      <c r="R1156" s="784"/>
      <c r="W1156" s="744"/>
    </row>
    <row r="1157" spans="6:24" ht="24" customHeight="1">
      <c r="O1157" s="283" t="s">
        <v>3583</v>
      </c>
      <c r="Q1157" s="374"/>
      <c r="R1157" s="283">
        <f>SUM(R1153:R1156)</f>
        <v>8305</v>
      </c>
      <c r="W1157" s="744"/>
    </row>
    <row r="1158" spans="6:24" ht="24" customHeight="1">
      <c r="F1158" s="374" t="s">
        <v>975</v>
      </c>
      <c r="G1158" s="283" t="s">
        <v>2251</v>
      </c>
      <c r="H1158" s="374" t="s">
        <v>1441</v>
      </c>
      <c r="Q1158" s="374"/>
      <c r="R1158" s="748" t="s">
        <v>1586</v>
      </c>
      <c r="W1158" s="744"/>
    </row>
    <row r="1159" spans="6:24" ht="24" customHeight="1">
      <c r="H1159" s="748" t="s">
        <v>1586</v>
      </c>
      <c r="I1159" s="748" t="s">
        <v>1586</v>
      </c>
      <c r="O1159" s="374" t="s">
        <v>386</v>
      </c>
      <c r="Q1159" s="374"/>
      <c r="R1159" s="751">
        <f>R1157+C22</f>
        <v>8424.85</v>
      </c>
      <c r="S1159" s="746">
        <f>C22</f>
        <v>119.85</v>
      </c>
      <c r="T1159" s="746">
        <f>C23</f>
        <v>236.1</v>
      </c>
      <c r="W1159" s="744"/>
    </row>
    <row r="1160" spans="6:24" ht="24" customHeight="1">
      <c r="F1160" s="283">
        <v>1.2</v>
      </c>
      <c r="G1160" s="283" t="s">
        <v>183</v>
      </c>
      <c r="H1160" s="374" t="s">
        <v>5307</v>
      </c>
      <c r="I1160" s="283">
        <f>C195</f>
        <v>271.2</v>
      </c>
      <c r="J1160" s="374" t="s">
        <v>183</v>
      </c>
      <c r="K1160" s="283">
        <f>(F1160*I1160)</f>
        <v>325.44</v>
      </c>
      <c r="O1160" s="374" t="s">
        <v>388</v>
      </c>
      <c r="Q1160" s="374"/>
      <c r="R1160" s="751">
        <f>R1159+C23</f>
        <v>8660.9500000000007</v>
      </c>
      <c r="S1160" s="746">
        <f>R1157-5363.9</f>
        <v>2941.1</v>
      </c>
      <c r="W1160" s="744"/>
    </row>
    <row r="1161" spans="6:24" ht="24" customHeight="1">
      <c r="F1161" s="283">
        <v>0.9</v>
      </c>
      <c r="G1161" s="283" t="s">
        <v>183</v>
      </c>
      <c r="H1161" s="374" t="s">
        <v>185</v>
      </c>
      <c r="I1161" s="283">
        <f>C194</f>
        <v>25</v>
      </c>
      <c r="J1161" s="374" t="s">
        <v>183</v>
      </c>
      <c r="K1161" s="283">
        <f>(F1161*I1161)</f>
        <v>22.5</v>
      </c>
      <c r="O1161" s="374" t="s">
        <v>2232</v>
      </c>
      <c r="Q1161" s="374"/>
      <c r="R1161" s="751">
        <f>R1160+C23</f>
        <v>8897.0499999999993</v>
      </c>
      <c r="W1161" s="744"/>
    </row>
    <row r="1162" spans="6:24" ht="24" customHeight="1">
      <c r="F1162" s="283">
        <v>1.1000000000000001</v>
      </c>
      <c r="G1162" s="283" t="s">
        <v>560</v>
      </c>
      <c r="H1162" s="374" t="s">
        <v>1514</v>
      </c>
      <c r="I1162" s="283">
        <f>C14</f>
        <v>797</v>
      </c>
      <c r="J1162" s="374" t="s">
        <v>1716</v>
      </c>
      <c r="K1162" s="283">
        <f>(F1162*I1162)</f>
        <v>876.7</v>
      </c>
      <c r="O1162" s="374" t="s">
        <v>380</v>
      </c>
      <c r="Q1162" s="374"/>
      <c r="R1162" s="751">
        <f>R1161+C23</f>
        <v>9133.15</v>
      </c>
      <c r="W1162" s="744"/>
    </row>
    <row r="1163" spans="6:24" ht="24" customHeight="1">
      <c r="F1163" s="283">
        <v>1.1000000000000001</v>
      </c>
      <c r="G1163" s="283" t="s">
        <v>560</v>
      </c>
      <c r="H1163" s="374" t="s">
        <v>878</v>
      </c>
      <c r="I1163" s="283">
        <f>C12</f>
        <v>651</v>
      </c>
      <c r="J1163" s="374" t="s">
        <v>1716</v>
      </c>
      <c r="K1163" s="283">
        <f>(F1163*I1163)</f>
        <v>716.1</v>
      </c>
      <c r="O1163" s="374" t="s">
        <v>1532</v>
      </c>
      <c r="Q1163" s="374"/>
      <c r="R1163" s="751">
        <f>R1162+C23</f>
        <v>9369.25</v>
      </c>
      <c r="W1163" s="744"/>
    </row>
    <row r="1164" spans="6:24" ht="24" customHeight="1">
      <c r="G1164" s="283" t="s">
        <v>449</v>
      </c>
      <c r="H1164" s="374" t="s">
        <v>1181</v>
      </c>
      <c r="J1164" s="374" t="s">
        <v>449</v>
      </c>
      <c r="K1164" s="283">
        <v>1.5</v>
      </c>
      <c r="O1164" s="374" t="s">
        <v>3562</v>
      </c>
      <c r="R1164" s="751">
        <f>R1163+C23</f>
        <v>9605.35</v>
      </c>
      <c r="W1164" s="744"/>
    </row>
    <row r="1165" spans="6:24" ht="24" customHeight="1">
      <c r="K1165" s="748" t="s">
        <v>1586</v>
      </c>
      <c r="O1165" s="374" t="s">
        <v>3563</v>
      </c>
      <c r="R1165" s="751">
        <f>R1164+C23</f>
        <v>9841.4500000000007</v>
      </c>
      <c r="W1165" s="744"/>
    </row>
    <row r="1166" spans="6:24" ht="24" customHeight="1">
      <c r="H1166" s="744" t="s">
        <v>1440</v>
      </c>
      <c r="K1166" s="283">
        <f>SUM(K1160:K1164)</f>
        <v>1942.24</v>
      </c>
      <c r="O1166" s="374" t="s">
        <v>3564</v>
      </c>
      <c r="R1166" s="751">
        <f>R1165+C23</f>
        <v>10077.549999999999</v>
      </c>
      <c r="W1166" s="744"/>
    </row>
    <row r="1167" spans="6:24" ht="24" customHeight="1">
      <c r="K1167" s="748" t="s">
        <v>1586</v>
      </c>
      <c r="O1167" s="374" t="s">
        <v>3565</v>
      </c>
      <c r="R1167" s="751">
        <f>R1166+C23</f>
        <v>10313.65</v>
      </c>
      <c r="W1167" s="744"/>
    </row>
    <row r="1168" spans="6:24" ht="24" customHeight="1">
      <c r="H1168" s="757" t="s">
        <v>552</v>
      </c>
      <c r="K1168" s="751">
        <f>(K1166/10)</f>
        <v>194.22</v>
      </c>
      <c r="O1168" s="374" t="s">
        <v>3584</v>
      </c>
      <c r="R1168" s="751">
        <f>R1167+C23</f>
        <v>10549.75</v>
      </c>
      <c r="W1168" s="744"/>
    </row>
    <row r="1169" spans="6:33" ht="24" customHeight="1">
      <c r="K1169" s="748" t="s">
        <v>2055</v>
      </c>
      <c r="O1169" s="283" t="s">
        <v>3585</v>
      </c>
      <c r="R1169" s="751">
        <f>R1168+C23</f>
        <v>10785.85</v>
      </c>
      <c r="W1169" s="744"/>
    </row>
    <row r="1170" spans="6:33" ht="24" customHeight="1">
      <c r="R1170" s="751">
        <f>R1169+C23</f>
        <v>11021.95</v>
      </c>
      <c r="W1170" s="744"/>
    </row>
    <row r="1171" spans="6:33" ht="24" customHeight="1">
      <c r="F1171" s="765">
        <v>23.3</v>
      </c>
      <c r="H1171" s="283" t="s">
        <v>2287</v>
      </c>
      <c r="I1171" s="283" t="s">
        <v>4224</v>
      </c>
      <c r="K1171" s="751">
        <v>52</v>
      </c>
      <c r="R1171" s="751">
        <f>R1170+C23</f>
        <v>11258.05</v>
      </c>
      <c r="S1171" s="283"/>
      <c r="W1171" s="744"/>
    </row>
    <row r="1172" spans="6:33" ht="24" customHeight="1">
      <c r="M1172" s="746"/>
      <c r="O1172" s="751" t="s">
        <v>3468</v>
      </c>
      <c r="R1172" s="751">
        <f>R1171+C23</f>
        <v>11494.15</v>
      </c>
      <c r="S1172" s="283"/>
      <c r="W1172" s="744"/>
    </row>
    <row r="1173" spans="6:33" ht="24" customHeight="1">
      <c r="M1173" s="746">
        <v>0.443</v>
      </c>
      <c r="N1173" s="283" t="s">
        <v>1341</v>
      </c>
      <c r="O1173" s="283" t="s">
        <v>3461</v>
      </c>
      <c r="P1173" s="283">
        <f t="shared" ref="P1173:P1179" si="158">P1142</f>
        <v>1582.2</v>
      </c>
      <c r="R1173" s="283">
        <f>P1173*M1173</f>
        <v>700.91</v>
      </c>
      <c r="S1173" s="283"/>
      <c r="W1173" s="744"/>
    </row>
    <row r="1174" spans="6:33" ht="24" customHeight="1">
      <c r="F1174" s="744" t="s">
        <v>1442</v>
      </c>
      <c r="G1174" s="283" t="s">
        <v>2251</v>
      </c>
      <c r="H1174" s="374" t="s">
        <v>6101</v>
      </c>
      <c r="M1174" s="746">
        <v>0.29499999999999998</v>
      </c>
      <c r="N1174" s="283" t="s">
        <v>1341</v>
      </c>
      <c r="O1174" s="283" t="s">
        <v>3462</v>
      </c>
      <c r="P1174" s="283">
        <f t="shared" si="158"/>
        <v>1109.2</v>
      </c>
      <c r="R1174" s="283">
        <f t="shared" ref="R1174:R1180" si="159">P1174*M1174</f>
        <v>327.20999999999998</v>
      </c>
      <c r="S1174" s="283"/>
      <c r="W1174" s="744"/>
    </row>
    <row r="1175" spans="6:33" ht="24" customHeight="1">
      <c r="H1175" s="374" t="s">
        <v>1443</v>
      </c>
      <c r="M1175" s="746">
        <v>0.43</v>
      </c>
      <c r="N1175" s="283" t="s">
        <v>1341</v>
      </c>
      <c r="O1175" s="283" t="s">
        <v>1065</v>
      </c>
      <c r="P1175" s="283">
        <f t="shared" si="158"/>
        <v>2074.06</v>
      </c>
      <c r="R1175" s="283">
        <f t="shared" si="159"/>
        <v>891.85</v>
      </c>
      <c r="S1175" s="283"/>
      <c r="W1175" s="744"/>
    </row>
    <row r="1176" spans="6:33" ht="24" customHeight="1">
      <c r="H1176" s="748" t="s">
        <v>1586</v>
      </c>
      <c r="I1176" s="748" t="s">
        <v>1586</v>
      </c>
      <c r="M1176" s="746">
        <v>0.39</v>
      </c>
      <c r="N1176" s="283" t="s">
        <v>528</v>
      </c>
      <c r="O1176" s="283" t="s">
        <v>390</v>
      </c>
      <c r="P1176" s="283">
        <f t="shared" si="158"/>
        <v>6040</v>
      </c>
      <c r="R1176" s="283">
        <f t="shared" si="159"/>
        <v>2355.6</v>
      </c>
      <c r="S1176" s="283"/>
      <c r="W1176" s="744"/>
    </row>
    <row r="1177" spans="6:33" ht="24" customHeight="1">
      <c r="F1177" s="783">
        <v>0.53339999999999999</v>
      </c>
      <c r="G1177" s="283" t="s">
        <v>2283</v>
      </c>
      <c r="H1177" s="374" t="s">
        <v>6366</v>
      </c>
      <c r="I1177" s="283">
        <v>306.89999999999998</v>
      </c>
      <c r="J1177" s="374" t="s">
        <v>2283</v>
      </c>
      <c r="K1177" s="283">
        <f>(F1177*I1177)</f>
        <v>163.69999999999999</v>
      </c>
      <c r="M1177" s="746">
        <v>0.35</v>
      </c>
      <c r="N1177" s="283" t="s">
        <v>1432</v>
      </c>
      <c r="O1177" s="283" t="s">
        <v>465</v>
      </c>
      <c r="P1177" s="283">
        <f t="shared" si="158"/>
        <v>932</v>
      </c>
      <c r="Q1177" s="283">
        <f>D1175</f>
        <v>0</v>
      </c>
      <c r="R1177" s="283">
        <f t="shared" si="159"/>
        <v>326.2</v>
      </c>
      <c r="S1177" s="283"/>
      <c r="W1177" s="744"/>
    </row>
    <row r="1178" spans="6:33" ht="24" customHeight="1">
      <c r="F1178" s="283">
        <v>4.24</v>
      </c>
      <c r="G1178" s="283" t="s">
        <v>826</v>
      </c>
      <c r="H1178" s="374" t="s">
        <v>4225</v>
      </c>
      <c r="I1178" s="283">
        <v>35.61</v>
      </c>
      <c r="J1178" s="374" t="s">
        <v>826</v>
      </c>
      <c r="K1178" s="283">
        <f>(F1178*I1178)</f>
        <v>150.99</v>
      </c>
      <c r="M1178" s="746">
        <v>2.12</v>
      </c>
      <c r="N1178" s="283" t="s">
        <v>1432</v>
      </c>
      <c r="O1178" s="283" t="s">
        <v>3463</v>
      </c>
      <c r="P1178" s="283">
        <f t="shared" si="158"/>
        <v>651</v>
      </c>
      <c r="R1178" s="283">
        <f t="shared" si="159"/>
        <v>1380.12</v>
      </c>
      <c r="S1178" s="283"/>
      <c r="W1178" s="744"/>
    </row>
    <row r="1179" spans="6:33" ht="24" customHeight="1">
      <c r="F1179" s="283">
        <v>16</v>
      </c>
      <c r="G1179" s="283" t="s">
        <v>560</v>
      </c>
      <c r="H1179" s="374" t="s">
        <v>4226</v>
      </c>
      <c r="I1179" s="283">
        <v>1</v>
      </c>
      <c r="J1179" s="374" t="s">
        <v>1398</v>
      </c>
      <c r="K1179" s="283">
        <f>(F1179*I1179)</f>
        <v>16</v>
      </c>
      <c r="M1179" s="746">
        <v>3.53</v>
      </c>
      <c r="N1179" s="283" t="s">
        <v>1432</v>
      </c>
      <c r="O1179" s="283" t="s">
        <v>3464</v>
      </c>
      <c r="P1179" s="283">
        <f t="shared" si="158"/>
        <v>534</v>
      </c>
      <c r="R1179" s="283">
        <f t="shared" si="159"/>
        <v>1885.02</v>
      </c>
      <c r="S1179" s="283"/>
      <c r="W1179" s="744"/>
    </row>
    <row r="1180" spans="6:33" ht="24" customHeight="1">
      <c r="F1180" s="783">
        <v>0.53339999999999999</v>
      </c>
      <c r="G1180" s="283" t="s">
        <v>2283</v>
      </c>
      <c r="H1180" s="374" t="s">
        <v>707</v>
      </c>
      <c r="I1180" s="283">
        <f>0.25/1.08*D16</f>
        <v>215.74</v>
      </c>
      <c r="J1180" s="374" t="s">
        <v>2283</v>
      </c>
      <c r="K1180" s="283">
        <f>(F1180*I1180)</f>
        <v>115.08</v>
      </c>
      <c r="M1180" s="746">
        <v>1</v>
      </c>
      <c r="N1180" s="283" t="s">
        <v>1341</v>
      </c>
      <c r="O1180" s="283" t="s">
        <v>3465</v>
      </c>
      <c r="P1180" s="283">
        <f>R1149</f>
        <v>94.2</v>
      </c>
      <c r="R1180" s="283">
        <f t="shared" si="159"/>
        <v>94.2</v>
      </c>
      <c r="S1180" s="283"/>
      <c r="W1180" s="744"/>
    </row>
    <row r="1181" spans="6:33" ht="24" customHeight="1">
      <c r="G1181" s="283" t="s">
        <v>449</v>
      </c>
      <c r="H1181" s="374" t="s">
        <v>2271</v>
      </c>
      <c r="J1181" s="374" t="s">
        <v>449</v>
      </c>
      <c r="M1181" s="790" t="s">
        <v>657</v>
      </c>
      <c r="O1181" s="283" t="s">
        <v>3466</v>
      </c>
      <c r="P1181" s="790" t="s">
        <v>657</v>
      </c>
      <c r="R1181" s="283">
        <v>270</v>
      </c>
      <c r="S1181" s="283"/>
      <c r="W1181" s="744"/>
    </row>
    <row r="1182" spans="6:33" ht="24" customHeight="1">
      <c r="H1182" s="374" t="s">
        <v>2272</v>
      </c>
      <c r="M1182" s="790" t="s">
        <v>657</v>
      </c>
      <c r="O1182" s="283" t="s">
        <v>3467</v>
      </c>
      <c r="P1182" s="790" t="s">
        <v>657</v>
      </c>
      <c r="R1182" s="283">
        <v>150</v>
      </c>
      <c r="S1182" s="283"/>
      <c r="W1182" s="744"/>
    </row>
    <row r="1183" spans="6:33" ht="24" customHeight="1">
      <c r="K1183" s="748" t="s">
        <v>1586</v>
      </c>
      <c r="M1183" s="790" t="s">
        <v>657</v>
      </c>
      <c r="O1183" s="283" t="s">
        <v>2271</v>
      </c>
      <c r="P1183" s="790" t="s">
        <v>657</v>
      </c>
      <c r="R1183" s="283">
        <v>0.45</v>
      </c>
      <c r="S1183" s="283">
        <f>C22</f>
        <v>119.85</v>
      </c>
      <c r="T1183" s="283">
        <f>C23</f>
        <v>236.1</v>
      </c>
      <c r="W1183" s="744"/>
      <c r="AG1183" s="374" t="s">
        <v>2259</v>
      </c>
    </row>
    <row r="1184" spans="6:33" ht="24" customHeight="1">
      <c r="H1184" s="744" t="s">
        <v>1694</v>
      </c>
      <c r="K1184" s="283">
        <f>SUM(K1177:K1181)</f>
        <v>445.77</v>
      </c>
      <c r="M1184" s="746"/>
      <c r="O1184" s="283" t="s">
        <v>3588</v>
      </c>
      <c r="R1184" s="751">
        <f>SUM(R1173:R1183)</f>
        <v>8381.56</v>
      </c>
      <c r="S1184" s="283"/>
      <c r="W1184" s="744"/>
      <c r="AG1184" s="374" t="s">
        <v>2259</v>
      </c>
    </row>
    <row r="1185" spans="6:37" ht="24" customHeight="1">
      <c r="K1185" s="748" t="s">
        <v>1586</v>
      </c>
      <c r="M1185" s="746"/>
      <c r="O1185" s="283" t="s">
        <v>386</v>
      </c>
      <c r="R1185" s="283">
        <f>R1184+C22</f>
        <v>8501.41</v>
      </c>
      <c r="W1185" s="744"/>
      <c r="AG1185" s="374" t="s">
        <v>2259</v>
      </c>
    </row>
    <row r="1186" spans="6:37" ht="24" customHeight="1">
      <c r="H1186" s="744" t="s">
        <v>1695</v>
      </c>
      <c r="K1186" s="751">
        <f>ROUND(K1184/0.5334,1)</f>
        <v>835.7</v>
      </c>
      <c r="R1186" s="283">
        <f>R1185+C23</f>
        <v>8737.51</v>
      </c>
      <c r="W1186" s="744"/>
      <c r="AG1186" s="374" t="s">
        <v>2259</v>
      </c>
    </row>
    <row r="1187" spans="6:37" ht="24" customHeight="1">
      <c r="F1187" s="374" t="s">
        <v>975</v>
      </c>
      <c r="K1187" s="748" t="s">
        <v>2055</v>
      </c>
      <c r="R1187" s="283">
        <f>R1186+C23</f>
        <v>8973.61</v>
      </c>
      <c r="W1187" s="744"/>
      <c r="Y1187" s="765">
        <v>15.1</v>
      </c>
      <c r="Z1187" s="283" t="s">
        <v>1757</v>
      </c>
      <c r="AA1187" s="745" t="s">
        <v>4243</v>
      </c>
      <c r="AC1187" s="744"/>
      <c r="AF1187" s="765">
        <v>15.1</v>
      </c>
      <c r="AG1187" s="283" t="s">
        <v>1757</v>
      </c>
      <c r="AH1187" s="802" t="s">
        <v>4242</v>
      </c>
      <c r="AJ1187" s="744"/>
    </row>
    <row r="1188" spans="6:37" ht="24" customHeight="1">
      <c r="F1188" s="374" t="s">
        <v>975</v>
      </c>
      <c r="G1188" s="283" t="s">
        <v>975</v>
      </c>
      <c r="H1188" s="374" t="s">
        <v>975</v>
      </c>
      <c r="W1188" s="744"/>
      <c r="AA1188" s="374" t="s">
        <v>2281</v>
      </c>
      <c r="AC1188" s="744"/>
      <c r="AH1188" s="374" t="s">
        <v>2281</v>
      </c>
      <c r="AJ1188" s="744"/>
    </row>
    <row r="1189" spans="6:37" ht="53.25" customHeight="1">
      <c r="F1189" s="744" t="s">
        <v>1798</v>
      </c>
      <c r="G1189" s="283" t="s">
        <v>2251</v>
      </c>
      <c r="H1189" s="374" t="s">
        <v>1492</v>
      </c>
      <c r="W1189" s="744"/>
      <c r="Y1189" s="283">
        <v>10</v>
      </c>
      <c r="Z1189" s="283" t="s">
        <v>2283</v>
      </c>
      <c r="AA1189" s="777" t="s">
        <v>5308</v>
      </c>
      <c r="AB1189" s="283">
        <v>1737</v>
      </c>
      <c r="AC1189" s="744" t="s">
        <v>2283</v>
      </c>
      <c r="AD1189" s="283">
        <f>(Y1189*AB1189)</f>
        <v>17370</v>
      </c>
      <c r="AE1189" s="283" t="str">
        <f>AG1189</f>
        <v>Sqm</v>
      </c>
      <c r="AF1189" s="283">
        <v>10</v>
      </c>
      <c r="AG1189" s="283" t="s">
        <v>2283</v>
      </c>
      <c r="AH1189" s="777" t="s">
        <v>5309</v>
      </c>
      <c r="AI1189" s="283">
        <v>886</v>
      </c>
      <c r="AJ1189" s="744" t="s">
        <v>2283</v>
      </c>
      <c r="AK1189" s="283">
        <f>(AF1189*AI1189)</f>
        <v>8860</v>
      </c>
    </row>
    <row r="1190" spans="6:37" ht="24" customHeight="1">
      <c r="H1190" s="374" t="s">
        <v>159</v>
      </c>
      <c r="W1190" s="744"/>
      <c r="Y1190" s="283">
        <v>0.12</v>
      </c>
      <c r="Z1190" s="283" t="s">
        <v>869</v>
      </c>
      <c r="AA1190" s="374" t="s">
        <v>784</v>
      </c>
      <c r="AB1190" s="283">
        <f>P1334</f>
        <v>5089.26</v>
      </c>
      <c r="AC1190" s="744" t="s">
        <v>869</v>
      </c>
      <c r="AD1190" s="283">
        <f>(Y1190*AB1190)</f>
        <v>610.71</v>
      </c>
      <c r="AE1190" s="283" t="str">
        <f>AG1190</f>
        <v>CUM</v>
      </c>
      <c r="AF1190" s="283">
        <v>0.12</v>
      </c>
      <c r="AG1190" s="283" t="s">
        <v>869</v>
      </c>
      <c r="AH1190" s="374" t="s">
        <v>784</v>
      </c>
      <c r="AI1190" s="283">
        <f>AB1190</f>
        <v>5089.26</v>
      </c>
      <c r="AJ1190" s="744" t="s">
        <v>869</v>
      </c>
      <c r="AK1190" s="283">
        <f>(AF1190*AI1190)</f>
        <v>610.71</v>
      </c>
    </row>
    <row r="1191" spans="6:37" ht="24" customHeight="1">
      <c r="H1191" s="748" t="s">
        <v>1586</v>
      </c>
      <c r="W1191" s="744"/>
      <c r="Y1191" s="283">
        <v>1</v>
      </c>
      <c r="Z1191" s="283" t="s">
        <v>560</v>
      </c>
      <c r="AA1191" s="374" t="s">
        <v>561</v>
      </c>
      <c r="AB1191" s="283">
        <f>P1335</f>
        <v>999</v>
      </c>
      <c r="AC1191" s="744" t="s">
        <v>1398</v>
      </c>
      <c r="AD1191" s="283">
        <f>(Y1191*AB1191)</f>
        <v>999</v>
      </c>
      <c r="AE1191" s="283" t="str">
        <f>AG1191</f>
        <v>No.</v>
      </c>
      <c r="AF1191" s="283">
        <v>1</v>
      </c>
      <c r="AG1191" s="283" t="s">
        <v>560</v>
      </c>
      <c r="AH1191" s="374" t="s">
        <v>561</v>
      </c>
      <c r="AI1191" s="283">
        <f>AB1191</f>
        <v>999</v>
      </c>
      <c r="AJ1191" s="744" t="s">
        <v>1398</v>
      </c>
      <c r="AK1191" s="283">
        <f>(AF1191*AI1191)</f>
        <v>999</v>
      </c>
    </row>
    <row r="1192" spans="6:37" ht="24" customHeight="1">
      <c r="F1192" s="283">
        <v>1</v>
      </c>
      <c r="G1192" s="283" t="s">
        <v>1645</v>
      </c>
      <c r="H1192" s="374" t="s">
        <v>5310</v>
      </c>
      <c r="I1192" s="283">
        <f>D661</f>
        <v>69.599999999999994</v>
      </c>
      <c r="J1192" s="374" t="s">
        <v>1645</v>
      </c>
      <c r="K1192" s="751">
        <f>(F1192*I1192)</f>
        <v>69.599999999999994</v>
      </c>
      <c r="W1192" s="744"/>
      <c r="Y1192" s="283">
        <v>1</v>
      </c>
      <c r="Z1192" s="283" t="s">
        <v>560</v>
      </c>
      <c r="AA1192" s="374" t="s">
        <v>4639</v>
      </c>
      <c r="AB1192" s="283">
        <f>P1336</f>
        <v>651</v>
      </c>
      <c r="AC1192" s="744" t="s">
        <v>1398</v>
      </c>
      <c r="AD1192" s="283">
        <f>(Y1192*AB1192)</f>
        <v>651</v>
      </c>
      <c r="AE1192" s="283" t="str">
        <f>AG1192</f>
        <v>No.</v>
      </c>
      <c r="AF1192" s="283">
        <v>1</v>
      </c>
      <c r="AG1192" s="283" t="s">
        <v>560</v>
      </c>
      <c r="AH1192" s="374" t="s">
        <v>4640</v>
      </c>
      <c r="AI1192" s="283">
        <f>AB1192</f>
        <v>651</v>
      </c>
      <c r="AJ1192" s="744" t="s">
        <v>1398</v>
      </c>
      <c r="AK1192" s="283">
        <f>(AF1192*AI1192)</f>
        <v>651</v>
      </c>
    </row>
    <row r="1193" spans="6:37" ht="24" customHeight="1">
      <c r="K1193" s="748" t="s">
        <v>2055</v>
      </c>
      <c r="W1193" s="744"/>
      <c r="Z1193" s="283" t="s">
        <v>449</v>
      </c>
      <c r="AA1193" s="374" t="s">
        <v>59</v>
      </c>
      <c r="AC1193" s="744" t="s">
        <v>449</v>
      </c>
      <c r="AD1193" s="283">
        <v>0.33</v>
      </c>
      <c r="AG1193" s="283" t="s">
        <v>449</v>
      </c>
      <c r="AH1193" s="374" t="s">
        <v>59</v>
      </c>
      <c r="AJ1193" s="744" t="s">
        <v>449</v>
      </c>
      <c r="AK1193" s="283">
        <v>0.33</v>
      </c>
    </row>
    <row r="1194" spans="6:37" ht="24" customHeight="1">
      <c r="W1194" s="744"/>
      <c r="AA1194" s="374" t="s">
        <v>931</v>
      </c>
      <c r="AD1194" s="744"/>
      <c r="AE1194" s="748" t="s">
        <v>1586</v>
      </c>
      <c r="AH1194" s="374" t="s">
        <v>931</v>
      </c>
      <c r="AK1194" s="744"/>
    </row>
    <row r="1195" spans="6:37" ht="24" customHeight="1">
      <c r="F1195" s="744" t="s">
        <v>445</v>
      </c>
      <c r="G1195" s="283" t="s">
        <v>2251</v>
      </c>
      <c r="H1195" s="374" t="s">
        <v>4227</v>
      </c>
      <c r="I1195" s="374" t="s">
        <v>975</v>
      </c>
      <c r="J1195" s="374" t="s">
        <v>1716</v>
      </c>
      <c r="K1195" s="751">
        <v>9.6</v>
      </c>
      <c r="W1195" s="744"/>
      <c r="AA1195" s="744" t="s">
        <v>407</v>
      </c>
      <c r="AC1195" s="744"/>
      <c r="AD1195" s="283">
        <f>SUM(AD1189:AD1194)</f>
        <v>19631.04</v>
      </c>
      <c r="AE1195" s="283">
        <f>SUM(AE1189:AE1193)</f>
        <v>0</v>
      </c>
      <c r="AH1195" s="744" t="s">
        <v>407</v>
      </c>
      <c r="AJ1195" s="744"/>
      <c r="AK1195" s="283">
        <f>SUM(AK1189:AK1194)</f>
        <v>11121.04</v>
      </c>
    </row>
    <row r="1196" spans="6:37" ht="24" customHeight="1">
      <c r="H1196" s="374" t="s">
        <v>262</v>
      </c>
      <c r="K1196" s="748" t="s">
        <v>2055</v>
      </c>
      <c r="W1196" s="744"/>
      <c r="AC1196" s="744"/>
      <c r="AD1196" s="748" t="s">
        <v>1586</v>
      </c>
      <c r="AE1196" s="748" t="s">
        <v>1586</v>
      </c>
      <c r="AJ1196" s="744"/>
      <c r="AK1196" s="748" t="s">
        <v>1586</v>
      </c>
    </row>
    <row r="1197" spans="6:37" ht="24" customHeight="1">
      <c r="W1197" s="744"/>
      <c r="AA1197" s="744" t="s">
        <v>411</v>
      </c>
      <c r="AD1197" s="751">
        <f>AD1195/10</f>
        <v>1963.1</v>
      </c>
      <c r="AH1197" s="744" t="s">
        <v>411</v>
      </c>
      <c r="AK1197" s="751">
        <f>AK1195/10</f>
        <v>1112.0999999999999</v>
      </c>
    </row>
    <row r="1198" spans="6:37" ht="24" customHeight="1">
      <c r="F1198" s="744" t="s">
        <v>225</v>
      </c>
      <c r="G1198" s="283" t="s">
        <v>2251</v>
      </c>
      <c r="H1198" s="374" t="s">
        <v>1922</v>
      </c>
      <c r="W1198" s="744"/>
      <c r="AA1198" s="374" t="s">
        <v>386</v>
      </c>
      <c r="AC1198" s="744">
        <f>C22*0.02</f>
        <v>2.4</v>
      </c>
      <c r="AD1198" s="283">
        <f>AD1197+AC1198</f>
        <v>1965.5</v>
      </c>
      <c r="AH1198" s="374" t="s">
        <v>386</v>
      </c>
      <c r="AJ1198" s="744">
        <f>C22*0.01</f>
        <v>1.2</v>
      </c>
      <c r="AK1198" s="283">
        <f>AK1197+AJ1198</f>
        <v>1113.3</v>
      </c>
    </row>
    <row r="1199" spans="6:37" ht="24" customHeight="1">
      <c r="H1199" s="374" t="s">
        <v>933</v>
      </c>
      <c r="W1199" s="744"/>
      <c r="AA1199" s="374" t="s">
        <v>388</v>
      </c>
      <c r="AC1199" s="744">
        <f>C23*0.02</f>
        <v>4.72</v>
      </c>
      <c r="AD1199" s="283">
        <f>AD1198+AC1199</f>
        <v>1970.22</v>
      </c>
      <c r="AH1199" s="374" t="s">
        <v>388</v>
      </c>
      <c r="AJ1199" s="744">
        <f>C23*0.01</f>
        <v>2.36</v>
      </c>
      <c r="AK1199" s="283">
        <f>AK1198+AJ1199</f>
        <v>1115.6600000000001</v>
      </c>
    </row>
    <row r="1200" spans="6:37" ht="24" customHeight="1">
      <c r="H1200" s="748" t="s">
        <v>1586</v>
      </c>
      <c r="W1200" s="744"/>
      <c r="AA1200" s="374" t="s">
        <v>2232</v>
      </c>
      <c r="AC1200" s="744">
        <f t="shared" ref="AC1200:AC1209" si="160">AC1199</f>
        <v>4.72</v>
      </c>
      <c r="AD1200" s="283">
        <f t="shared" ref="AD1200:AD1209" si="161">+AD1199+AC1200</f>
        <v>1974.94</v>
      </c>
      <c r="AH1200" s="374" t="s">
        <v>2232</v>
      </c>
      <c r="AJ1200" s="744">
        <f>C24*0.01</f>
        <v>2.36</v>
      </c>
      <c r="AK1200" s="283">
        <f t="shared" ref="AK1200:AK1207" si="162">+AK1199+AJ1200</f>
        <v>1118.02</v>
      </c>
    </row>
    <row r="1201" spans="6:37" ht="24" customHeight="1">
      <c r="F1201" s="283">
        <v>0.22</v>
      </c>
      <c r="G1201" s="283" t="s">
        <v>869</v>
      </c>
      <c r="H1201" s="374" t="s">
        <v>1307</v>
      </c>
      <c r="I1201" s="283">
        <f>K40</f>
        <v>4364.46</v>
      </c>
      <c r="J1201" s="374" t="s">
        <v>869</v>
      </c>
      <c r="K1201" s="283">
        <f>(F1201*I1201)</f>
        <v>960.18</v>
      </c>
      <c r="W1201" s="744"/>
      <c r="AA1201" s="374" t="s">
        <v>380</v>
      </c>
      <c r="AC1201" s="744">
        <f t="shared" si="160"/>
        <v>4.72</v>
      </c>
      <c r="AD1201" s="283">
        <f t="shared" si="161"/>
        <v>1979.66</v>
      </c>
      <c r="AH1201" s="374" t="s">
        <v>380</v>
      </c>
      <c r="AJ1201" s="744">
        <v>1.95</v>
      </c>
      <c r="AK1201" s="283">
        <f t="shared" si="162"/>
        <v>1119.97</v>
      </c>
    </row>
    <row r="1202" spans="6:37" ht="24" customHeight="1">
      <c r="F1202" s="283">
        <v>2.2000000000000002</v>
      </c>
      <c r="G1202" s="283" t="s">
        <v>769</v>
      </c>
      <c r="H1202" s="374" t="s">
        <v>2009</v>
      </c>
      <c r="I1202" s="283">
        <f>(C10)</f>
        <v>999</v>
      </c>
      <c r="J1202" s="374" t="s">
        <v>769</v>
      </c>
      <c r="K1202" s="283">
        <f>(F1202*I1202)</f>
        <v>2197.8000000000002</v>
      </c>
      <c r="W1202" s="744"/>
      <c r="AA1202" s="374" t="s">
        <v>1364</v>
      </c>
      <c r="AC1202" s="744">
        <f t="shared" si="160"/>
        <v>4.72</v>
      </c>
      <c r="AD1202" s="283">
        <f t="shared" si="161"/>
        <v>1984.38</v>
      </c>
      <c r="AH1202" s="374" t="s">
        <v>1364</v>
      </c>
      <c r="AJ1202" s="744">
        <v>1.95</v>
      </c>
      <c r="AK1202" s="283">
        <f t="shared" si="162"/>
        <v>1121.92</v>
      </c>
    </row>
    <row r="1203" spans="6:37" ht="24" customHeight="1">
      <c r="F1203" s="283">
        <v>0.5</v>
      </c>
      <c r="G1203" s="283" t="s">
        <v>769</v>
      </c>
      <c r="H1203" s="374" t="s">
        <v>934</v>
      </c>
      <c r="I1203" s="283">
        <f>(C12)</f>
        <v>651</v>
      </c>
      <c r="J1203" s="374" t="s">
        <v>769</v>
      </c>
      <c r="K1203" s="283">
        <f>(F1203*I1203)</f>
        <v>325.5</v>
      </c>
      <c r="W1203" s="744"/>
      <c r="AA1203" s="283">
        <v>5</v>
      </c>
      <c r="AC1203" s="744">
        <f t="shared" si="160"/>
        <v>4.72</v>
      </c>
      <c r="AD1203" s="283">
        <f t="shared" si="161"/>
        <v>1989.1</v>
      </c>
      <c r="AE1203" s="283">
        <f>AG1203</f>
        <v>0</v>
      </c>
      <c r="AH1203" s="283">
        <v>5</v>
      </c>
      <c r="AJ1203" s="744">
        <f>AC1203</f>
        <v>4.72</v>
      </c>
      <c r="AK1203" s="283">
        <f t="shared" si="162"/>
        <v>1126.6400000000001</v>
      </c>
    </row>
    <row r="1204" spans="6:37" ht="24" customHeight="1">
      <c r="F1204" s="283">
        <v>3.2</v>
      </c>
      <c r="G1204" s="283" t="s">
        <v>769</v>
      </c>
      <c r="H1204" s="374" t="s">
        <v>320</v>
      </c>
      <c r="I1204" s="283">
        <f>(C13)</f>
        <v>534</v>
      </c>
      <c r="J1204" s="374" t="s">
        <v>769</v>
      </c>
      <c r="K1204" s="283">
        <f>(F1204*I1204)</f>
        <v>1708.8</v>
      </c>
      <c r="W1204" s="744"/>
      <c r="AA1204" s="283">
        <v>6</v>
      </c>
      <c r="AC1204" s="744">
        <f t="shared" si="160"/>
        <v>4.72</v>
      </c>
      <c r="AD1204" s="283">
        <f t="shared" si="161"/>
        <v>1993.82</v>
      </c>
      <c r="AE1204" s="283">
        <f>AG1204</f>
        <v>0</v>
      </c>
      <c r="AH1204" s="283">
        <v>6</v>
      </c>
      <c r="AJ1204" s="744">
        <f>AC1204</f>
        <v>4.72</v>
      </c>
      <c r="AK1204" s="283">
        <f t="shared" si="162"/>
        <v>1131.3599999999999</v>
      </c>
    </row>
    <row r="1205" spans="6:37" ht="24" customHeight="1">
      <c r="H1205" s="374"/>
      <c r="W1205" s="744"/>
      <c r="AA1205" s="283">
        <v>7</v>
      </c>
      <c r="AC1205" s="744">
        <f t="shared" si="160"/>
        <v>4.72</v>
      </c>
      <c r="AD1205" s="283">
        <f t="shared" si="161"/>
        <v>1998.54</v>
      </c>
      <c r="AH1205" s="283">
        <v>7</v>
      </c>
      <c r="AJ1205" s="744">
        <f>AC1205</f>
        <v>4.72</v>
      </c>
      <c r="AK1205" s="283">
        <f t="shared" si="162"/>
        <v>1136.08</v>
      </c>
    </row>
    <row r="1206" spans="6:37" ht="24" customHeight="1">
      <c r="H1206" s="374"/>
      <c r="W1206" s="744"/>
      <c r="AA1206" s="283">
        <v>8</v>
      </c>
      <c r="AC1206" s="744">
        <f t="shared" si="160"/>
        <v>4.72</v>
      </c>
      <c r="AD1206" s="283">
        <f t="shared" si="161"/>
        <v>2003.26</v>
      </c>
      <c r="AH1206" s="283">
        <v>8</v>
      </c>
      <c r="AJ1206" s="744">
        <f>AC1206</f>
        <v>4.72</v>
      </c>
      <c r="AK1206" s="283">
        <f t="shared" si="162"/>
        <v>1140.8</v>
      </c>
    </row>
    <row r="1207" spans="6:37" ht="24" customHeight="1">
      <c r="H1207" s="374"/>
      <c r="W1207" s="744"/>
      <c r="AA1207" s="283">
        <v>9</v>
      </c>
      <c r="AC1207" s="744">
        <f t="shared" si="160"/>
        <v>4.72</v>
      </c>
      <c r="AD1207" s="283">
        <f t="shared" si="161"/>
        <v>2007.98</v>
      </c>
      <c r="AF1207" s="283" t="s">
        <v>4623</v>
      </c>
      <c r="AH1207" s="283">
        <v>9</v>
      </c>
      <c r="AJ1207" s="744">
        <f>AC1207</f>
        <v>4.72</v>
      </c>
      <c r="AK1207" s="283">
        <f t="shared" si="162"/>
        <v>1145.52</v>
      </c>
    </row>
    <row r="1208" spans="6:37" ht="24" customHeight="1">
      <c r="H1208" s="374"/>
      <c r="W1208" s="744"/>
      <c r="AA1208" s="283">
        <v>10</v>
      </c>
      <c r="AC1208" s="744">
        <f t="shared" si="160"/>
        <v>4.72</v>
      </c>
      <c r="AD1208" s="283">
        <f t="shared" si="161"/>
        <v>2012.7</v>
      </c>
      <c r="AG1208" s="374"/>
    </row>
    <row r="1209" spans="6:37" ht="24" customHeight="1">
      <c r="H1209" s="374"/>
      <c r="W1209" s="744"/>
      <c r="AA1209" s="283">
        <v>11</v>
      </c>
      <c r="AC1209" s="744">
        <f t="shared" si="160"/>
        <v>4.72</v>
      </c>
      <c r="AD1209" s="283">
        <f t="shared" si="161"/>
        <v>2017.42</v>
      </c>
      <c r="AG1209" s="374"/>
    </row>
    <row r="1210" spans="6:37" ht="24" customHeight="1">
      <c r="G1210" s="283" t="s">
        <v>449</v>
      </c>
      <c r="H1210" s="374" t="s">
        <v>450</v>
      </c>
      <c r="I1210" s="374" t="s">
        <v>975</v>
      </c>
      <c r="J1210" s="374" t="s">
        <v>449</v>
      </c>
      <c r="K1210" s="283">
        <v>5</v>
      </c>
      <c r="Q1210" s="744"/>
      <c r="W1210" s="744"/>
      <c r="Y1210" s="765">
        <v>29.5</v>
      </c>
      <c r="Z1210" s="283" t="s">
        <v>2251</v>
      </c>
      <c r="AA1210" s="745" t="s">
        <v>6035</v>
      </c>
      <c r="AE1210" s="283" t="str">
        <f t="shared" ref="AE1210:AE1278" si="163">AG1210</f>
        <v>|</v>
      </c>
      <c r="AG1210" s="374" t="s">
        <v>2259</v>
      </c>
    </row>
    <row r="1211" spans="6:37" ht="24" customHeight="1">
      <c r="K1211" s="748" t="s">
        <v>1586</v>
      </c>
      <c r="Q1211" s="744"/>
      <c r="W1211" s="744"/>
      <c r="AA1211" s="745" t="s">
        <v>3818</v>
      </c>
      <c r="AE1211" s="283" t="str">
        <f t="shared" si="163"/>
        <v>|</v>
      </c>
      <c r="AG1211" s="374" t="s">
        <v>2259</v>
      </c>
    </row>
    <row r="1212" spans="6:37" ht="24" customHeight="1">
      <c r="H1212" s="374" t="s">
        <v>441</v>
      </c>
      <c r="K1212" s="283">
        <f>SUM(K1201:K1210)</f>
        <v>5197.28</v>
      </c>
      <c r="Q1212" s="744"/>
      <c r="W1212" s="744"/>
      <c r="AA1212" s="374"/>
      <c r="AE1212" s="283" t="str">
        <f t="shared" si="163"/>
        <v>|</v>
      </c>
      <c r="AG1212" s="374" t="s">
        <v>2259</v>
      </c>
    </row>
    <row r="1213" spans="6:37" ht="36.75" customHeight="1">
      <c r="F1213" s="283" t="s">
        <v>975</v>
      </c>
      <c r="K1213" s="748" t="s">
        <v>1586</v>
      </c>
      <c r="O1213" s="753" t="s">
        <v>1527</v>
      </c>
      <c r="Q1213" s="744"/>
      <c r="W1213" s="744"/>
      <c r="AA1213" s="748" t="s">
        <v>1586</v>
      </c>
      <c r="AB1213" s="748" t="s">
        <v>1586</v>
      </c>
      <c r="AC1213" s="374">
        <f>54.96*10.764</f>
        <v>591.59</v>
      </c>
      <c r="AE1213" s="283" t="str">
        <f t="shared" si="163"/>
        <v>|</v>
      </c>
      <c r="AG1213" s="374" t="s">
        <v>2259</v>
      </c>
    </row>
    <row r="1214" spans="6:37" ht="30" customHeight="1">
      <c r="H1214" s="757" t="s">
        <v>552</v>
      </c>
      <c r="K1214" s="751">
        <f>(K1212/10)</f>
        <v>519.73</v>
      </c>
      <c r="Q1214" s="744"/>
      <c r="W1214" s="744"/>
      <c r="Y1214" s="283">
        <v>10</v>
      </c>
      <c r="Z1214" s="283" t="s">
        <v>609</v>
      </c>
      <c r="AA1214" s="780" t="s">
        <v>6036</v>
      </c>
      <c r="AB1214" s="283">
        <v>1462</v>
      </c>
      <c r="AC1214" s="374" t="s">
        <v>609</v>
      </c>
      <c r="AD1214" s="283">
        <f>(Y1214*AB1214)</f>
        <v>14620</v>
      </c>
      <c r="AE1214" s="283" t="str">
        <f t="shared" si="163"/>
        <v>|</v>
      </c>
      <c r="AG1214" s="374" t="s">
        <v>2259</v>
      </c>
    </row>
    <row r="1215" spans="6:37" ht="24" customHeight="1">
      <c r="K1215" s="748" t="s">
        <v>2055</v>
      </c>
      <c r="Q1215" s="744"/>
      <c r="S1215" s="803" t="s">
        <v>3470</v>
      </c>
      <c r="W1215" s="744"/>
      <c r="Y1215" s="283">
        <v>0.21</v>
      </c>
      <c r="Z1215" s="283" t="s">
        <v>869</v>
      </c>
      <c r="AA1215" s="374" t="s">
        <v>1876</v>
      </c>
      <c r="AB1215" s="283">
        <f t="shared" ref="AB1215:AB1227" si="164">AB1243</f>
        <v>5089.26</v>
      </c>
      <c r="AC1215" s="374" t="s">
        <v>869</v>
      </c>
      <c r="AD1215" s="283">
        <f>(Y1215*AB1215)</f>
        <v>1068.74</v>
      </c>
      <c r="AE1215" s="283" t="str">
        <f t="shared" si="163"/>
        <v>|</v>
      </c>
      <c r="AG1215" s="374" t="s">
        <v>2259</v>
      </c>
    </row>
    <row r="1216" spans="6:37" ht="24" customHeight="1">
      <c r="F1216" s="744" t="s">
        <v>935</v>
      </c>
      <c r="G1216" s="283" t="s">
        <v>2251</v>
      </c>
      <c r="H1216" s="374" t="s">
        <v>1844</v>
      </c>
      <c r="M1216" s="283">
        <v>10</v>
      </c>
      <c r="N1216" s="283" t="s">
        <v>609</v>
      </c>
      <c r="O1216" s="374" t="s">
        <v>6102</v>
      </c>
      <c r="P1216" s="784">
        <v>653</v>
      </c>
      <c r="Q1216" s="744" t="s">
        <v>609</v>
      </c>
      <c r="R1216" s="283">
        <f>M1216*P1216</f>
        <v>6530</v>
      </c>
      <c r="S1216" s="746">
        <v>694.02</v>
      </c>
      <c r="T1216" s="283">
        <f>S1216*M1216</f>
        <v>6940.2</v>
      </c>
      <c r="W1216" s="744"/>
      <c r="AA1216" s="374" t="s">
        <v>1877</v>
      </c>
      <c r="AB1216" s="283" t="str">
        <f t="shared" si="164"/>
        <v xml:space="preserve"> </v>
      </c>
      <c r="AC1216" s="374"/>
      <c r="AD1216" s="374" t="s">
        <v>975</v>
      </c>
      <c r="AE1216" s="283" t="str">
        <f t="shared" si="163"/>
        <v>|</v>
      </c>
      <c r="AG1216" s="374" t="s">
        <v>2259</v>
      </c>
    </row>
    <row r="1217" spans="6:33" ht="24" customHeight="1">
      <c r="H1217" s="374" t="s">
        <v>1872</v>
      </c>
      <c r="M1217" s="283">
        <v>0.21</v>
      </c>
      <c r="N1217" s="283" t="s">
        <v>869</v>
      </c>
      <c r="O1217" s="374" t="s">
        <v>1876</v>
      </c>
      <c r="P1217" s="283">
        <f>I1221</f>
        <v>5089.26</v>
      </c>
      <c r="Q1217" s="744" t="s">
        <v>869</v>
      </c>
      <c r="R1217" s="283">
        <f t="shared" ref="R1217:R1226" si="165">(M1217*P1217)</f>
        <v>1068.74</v>
      </c>
      <c r="T1217" s="283">
        <f>R1217</f>
        <v>1068.74</v>
      </c>
      <c r="W1217" s="744"/>
      <c r="Y1217" s="283">
        <v>1.1000000000000001</v>
      </c>
      <c r="Z1217" s="283" t="s">
        <v>769</v>
      </c>
      <c r="AA1217" s="374" t="s">
        <v>2009</v>
      </c>
      <c r="AB1217" s="283">
        <f t="shared" si="164"/>
        <v>999</v>
      </c>
      <c r="AC1217" s="374" t="s">
        <v>769</v>
      </c>
      <c r="AD1217" s="283">
        <f>(Y1217*AB1217)</f>
        <v>1098.9000000000001</v>
      </c>
      <c r="AE1217" s="283" t="str">
        <f t="shared" si="163"/>
        <v>|</v>
      </c>
      <c r="AG1217" s="374" t="s">
        <v>2259</v>
      </c>
    </row>
    <row r="1218" spans="6:33" ht="24" customHeight="1">
      <c r="H1218" s="748" t="s">
        <v>1586</v>
      </c>
      <c r="M1218" s="283">
        <v>1.1000000000000001</v>
      </c>
      <c r="N1218" s="283" t="s">
        <v>769</v>
      </c>
      <c r="O1218" s="374" t="s">
        <v>2009</v>
      </c>
      <c r="P1218" s="283">
        <f>I1223</f>
        <v>999</v>
      </c>
      <c r="Q1218" s="744" t="s">
        <v>769</v>
      </c>
      <c r="R1218" s="283">
        <f t="shared" si="165"/>
        <v>1098.9000000000001</v>
      </c>
      <c r="T1218" s="283">
        <f t="shared" ref="T1218:T1226" si="166">R1218</f>
        <v>1098.9000000000001</v>
      </c>
      <c r="W1218" s="744"/>
      <c r="Y1218" s="283">
        <v>1.1000000000000001</v>
      </c>
      <c r="Z1218" s="283" t="s">
        <v>769</v>
      </c>
      <c r="AA1218" s="374" t="s">
        <v>1712</v>
      </c>
      <c r="AB1218" s="283">
        <f t="shared" si="164"/>
        <v>932</v>
      </c>
      <c r="AC1218" s="374" t="s">
        <v>769</v>
      </c>
      <c r="AD1218" s="283">
        <f>(Y1218*AB1218)</f>
        <v>1025.2</v>
      </c>
      <c r="AE1218" s="283" t="str">
        <f t="shared" si="163"/>
        <v>|</v>
      </c>
      <c r="AG1218" s="374" t="s">
        <v>2259</v>
      </c>
    </row>
    <row r="1219" spans="6:33" ht="24" customHeight="1">
      <c r="F1219" s="283">
        <v>160</v>
      </c>
      <c r="G1219" s="283" t="s">
        <v>1873</v>
      </c>
      <c r="H1219" s="374" t="s">
        <v>1874</v>
      </c>
      <c r="I1219" s="283">
        <f>(C138)</f>
        <v>11907</v>
      </c>
      <c r="J1219" s="374" t="s">
        <v>1481</v>
      </c>
      <c r="K1219" s="283">
        <f>(F1219*I1219)/1000</f>
        <v>1905.12</v>
      </c>
      <c r="M1219" s="283">
        <v>1.1000000000000001</v>
      </c>
      <c r="N1219" s="283" t="s">
        <v>769</v>
      </c>
      <c r="O1219" s="374" t="s">
        <v>1712</v>
      </c>
      <c r="P1219" s="283">
        <f>I1224</f>
        <v>932</v>
      </c>
      <c r="Q1219" s="744" t="s">
        <v>769</v>
      </c>
      <c r="R1219" s="283">
        <f t="shared" si="165"/>
        <v>1025.2</v>
      </c>
      <c r="T1219" s="283">
        <f t="shared" si="166"/>
        <v>1025.2</v>
      </c>
      <c r="W1219" s="744"/>
      <c r="Y1219" s="283">
        <v>2.2000000000000002</v>
      </c>
      <c r="Z1219" s="283" t="s">
        <v>769</v>
      </c>
      <c r="AA1219" s="374" t="s">
        <v>1902</v>
      </c>
      <c r="AB1219" s="283">
        <f t="shared" si="164"/>
        <v>651</v>
      </c>
      <c r="AC1219" s="374" t="s">
        <v>769</v>
      </c>
      <c r="AD1219" s="283">
        <f>(Y1219*AB1219)</f>
        <v>1432.2</v>
      </c>
      <c r="AE1219" s="283" t="str">
        <f t="shared" si="163"/>
        <v>|</v>
      </c>
      <c r="AG1219" s="374" t="s">
        <v>2259</v>
      </c>
    </row>
    <row r="1220" spans="6:33" ht="24" customHeight="1">
      <c r="H1220" s="374" t="s">
        <v>1875</v>
      </c>
      <c r="I1220" s="374" t="s">
        <v>975</v>
      </c>
      <c r="K1220" s="374" t="s">
        <v>975</v>
      </c>
      <c r="M1220" s="283">
        <v>2.2000000000000002</v>
      </c>
      <c r="N1220" s="283" t="s">
        <v>769</v>
      </c>
      <c r="O1220" s="374" t="s">
        <v>1902</v>
      </c>
      <c r="P1220" s="283">
        <f>I1225</f>
        <v>651</v>
      </c>
      <c r="Q1220" s="744" t="s">
        <v>769</v>
      </c>
      <c r="R1220" s="283">
        <f t="shared" si="165"/>
        <v>1432.2</v>
      </c>
      <c r="T1220" s="283">
        <f t="shared" si="166"/>
        <v>1432.2</v>
      </c>
      <c r="W1220" s="744"/>
      <c r="Y1220" s="283">
        <v>2.2000000000000002</v>
      </c>
      <c r="Z1220" s="283" t="s">
        <v>769</v>
      </c>
      <c r="AA1220" s="374" t="s">
        <v>320</v>
      </c>
      <c r="AB1220" s="283">
        <f t="shared" si="164"/>
        <v>534</v>
      </c>
      <c r="AC1220" s="374" t="s">
        <v>769</v>
      </c>
      <c r="AD1220" s="283">
        <f>(Y1220*AB1220)</f>
        <v>1174.8</v>
      </c>
      <c r="AE1220" s="283" t="str">
        <f t="shared" si="163"/>
        <v>|</v>
      </c>
      <c r="AG1220" s="374" t="s">
        <v>2259</v>
      </c>
    </row>
    <row r="1221" spans="6:33" ht="24" customHeight="1">
      <c r="F1221" s="283">
        <v>0.21</v>
      </c>
      <c r="G1221" s="283" t="s">
        <v>869</v>
      </c>
      <c r="H1221" s="374" t="s">
        <v>1876</v>
      </c>
      <c r="I1221" s="283">
        <f>(K32)</f>
        <v>5089.26</v>
      </c>
      <c r="J1221" s="374" t="s">
        <v>869</v>
      </c>
      <c r="K1221" s="283">
        <f>(F1221*I1221)</f>
        <v>1068.74</v>
      </c>
      <c r="M1221" s="283">
        <v>2.2000000000000002</v>
      </c>
      <c r="N1221" s="283" t="s">
        <v>769</v>
      </c>
      <c r="O1221" s="374" t="s">
        <v>320</v>
      </c>
      <c r="P1221" s="283">
        <f>I1226</f>
        <v>534</v>
      </c>
      <c r="Q1221" s="744" t="s">
        <v>769</v>
      </c>
      <c r="R1221" s="283">
        <f t="shared" si="165"/>
        <v>1174.8</v>
      </c>
      <c r="T1221" s="283">
        <f t="shared" si="166"/>
        <v>1174.8</v>
      </c>
      <c r="W1221" s="744"/>
      <c r="Y1221" s="746">
        <v>20</v>
      </c>
      <c r="Z1221" s="283" t="s">
        <v>1645</v>
      </c>
      <c r="AA1221" s="374" t="s">
        <v>862</v>
      </c>
      <c r="AB1221" s="283">
        <f t="shared" si="164"/>
        <v>6040</v>
      </c>
      <c r="AC1221" s="374" t="s">
        <v>861</v>
      </c>
      <c r="AD1221" s="283">
        <f>(Y1221*AB1221)/1000</f>
        <v>120.8</v>
      </c>
      <c r="AE1221" s="283" t="str">
        <f t="shared" si="163"/>
        <v>|</v>
      </c>
      <c r="AG1221" s="374" t="s">
        <v>2259</v>
      </c>
    </row>
    <row r="1222" spans="6:33" ht="24" customHeight="1">
      <c r="H1222" s="374" t="s">
        <v>1877</v>
      </c>
      <c r="I1222" s="374" t="s">
        <v>975</v>
      </c>
      <c r="K1222" s="374" t="s">
        <v>975</v>
      </c>
      <c r="M1222" s="746">
        <v>20</v>
      </c>
      <c r="N1222" s="283" t="s">
        <v>1645</v>
      </c>
      <c r="O1222" s="374" t="s">
        <v>862</v>
      </c>
      <c r="P1222" s="283">
        <f>I1227</f>
        <v>6040</v>
      </c>
      <c r="Q1222" s="744" t="s">
        <v>861</v>
      </c>
      <c r="R1222" s="283">
        <f>(M1222*P1222)/1000</f>
        <v>120.8</v>
      </c>
      <c r="T1222" s="283">
        <f t="shared" si="166"/>
        <v>120.8</v>
      </c>
      <c r="W1222" s="744"/>
      <c r="Y1222" s="746">
        <v>2</v>
      </c>
      <c r="Z1222" s="283" t="s">
        <v>1645</v>
      </c>
      <c r="AA1222" s="374" t="s">
        <v>2081</v>
      </c>
      <c r="AB1222" s="283">
        <f t="shared" si="164"/>
        <v>36.1</v>
      </c>
      <c r="AC1222" s="374" t="s">
        <v>1645</v>
      </c>
      <c r="AD1222" s="283">
        <f>(Y1222*AB1222)</f>
        <v>72.2</v>
      </c>
      <c r="AE1222" s="283" t="str">
        <f t="shared" si="163"/>
        <v>|</v>
      </c>
      <c r="AG1222" s="374" t="s">
        <v>2259</v>
      </c>
    </row>
    <row r="1223" spans="6:33" ht="24" customHeight="1">
      <c r="F1223" s="283">
        <v>1.1000000000000001</v>
      </c>
      <c r="G1223" s="283" t="s">
        <v>769</v>
      </c>
      <c r="H1223" s="374" t="s">
        <v>2009</v>
      </c>
      <c r="I1223" s="283">
        <f>(C10)</f>
        <v>999</v>
      </c>
      <c r="J1223" s="374" t="s">
        <v>769</v>
      </c>
      <c r="K1223" s="283">
        <f>(F1223*I1223)</f>
        <v>1098.9000000000001</v>
      </c>
      <c r="M1223" s="746">
        <v>2</v>
      </c>
      <c r="N1223" s="283" t="s">
        <v>1645</v>
      </c>
      <c r="O1223" s="374" t="s">
        <v>1096</v>
      </c>
      <c r="P1223" s="283">
        <f>C609</f>
        <v>24.93</v>
      </c>
      <c r="Q1223" s="744" t="s">
        <v>1645</v>
      </c>
      <c r="R1223" s="283">
        <f t="shared" si="165"/>
        <v>49.86</v>
      </c>
      <c r="T1223" s="283">
        <f t="shared" si="166"/>
        <v>49.86</v>
      </c>
      <c r="W1223" s="744"/>
      <c r="Y1223" s="283">
        <v>1.6</v>
      </c>
      <c r="Z1223" s="283" t="s">
        <v>769</v>
      </c>
      <c r="AA1223" s="374" t="s">
        <v>1712</v>
      </c>
      <c r="AB1223" s="283">
        <f t="shared" si="164"/>
        <v>932</v>
      </c>
      <c r="AC1223" s="374" t="s">
        <v>769</v>
      </c>
      <c r="AD1223" s="283">
        <f>(Y1223*AB1223)</f>
        <v>1491.2</v>
      </c>
      <c r="AE1223" s="283" t="str">
        <f t="shared" si="163"/>
        <v>|</v>
      </c>
      <c r="AG1223" s="374" t="s">
        <v>2259</v>
      </c>
    </row>
    <row r="1224" spans="6:33" ht="24" customHeight="1">
      <c r="F1224" s="283">
        <v>1.1000000000000001</v>
      </c>
      <c r="G1224" s="283" t="s">
        <v>769</v>
      </c>
      <c r="H1224" s="374" t="s">
        <v>1712</v>
      </c>
      <c r="I1224" s="283">
        <f>(C11)</f>
        <v>932</v>
      </c>
      <c r="J1224" s="374" t="s">
        <v>769</v>
      </c>
      <c r="K1224" s="283">
        <f>(F1224*I1224)</f>
        <v>1025.2</v>
      </c>
      <c r="M1224" s="283">
        <v>1.6</v>
      </c>
      <c r="N1224" s="283" t="s">
        <v>769</v>
      </c>
      <c r="O1224" s="374" t="s">
        <v>1712</v>
      </c>
      <c r="P1224" s="283">
        <f>P1219</f>
        <v>932</v>
      </c>
      <c r="Q1224" s="744" t="s">
        <v>769</v>
      </c>
      <c r="R1224" s="283">
        <f t="shared" si="165"/>
        <v>1491.2</v>
      </c>
      <c r="T1224" s="283">
        <f t="shared" si="166"/>
        <v>1491.2</v>
      </c>
      <c r="W1224" s="744"/>
      <c r="Y1224" s="283">
        <v>0.5</v>
      </c>
      <c r="Z1224" s="283" t="s">
        <v>769</v>
      </c>
      <c r="AA1224" s="374" t="s">
        <v>1902</v>
      </c>
      <c r="AB1224" s="283">
        <f t="shared" si="164"/>
        <v>651</v>
      </c>
      <c r="AC1224" s="374" t="s">
        <v>769</v>
      </c>
      <c r="AD1224" s="283">
        <f>(Y1224*AB1224)</f>
        <v>325.5</v>
      </c>
      <c r="AE1224" s="283" t="str">
        <f t="shared" si="163"/>
        <v>|</v>
      </c>
      <c r="AG1224" s="374" t="s">
        <v>2259</v>
      </c>
    </row>
    <row r="1225" spans="6:33" ht="24" customHeight="1">
      <c r="F1225" s="283">
        <v>2.2000000000000002</v>
      </c>
      <c r="G1225" s="283" t="s">
        <v>769</v>
      </c>
      <c r="H1225" s="374" t="s">
        <v>1902</v>
      </c>
      <c r="I1225" s="283">
        <f>(C12)</f>
        <v>651</v>
      </c>
      <c r="J1225" s="374" t="s">
        <v>769</v>
      </c>
      <c r="K1225" s="283">
        <f>(F1225*I1225)</f>
        <v>1432.2</v>
      </c>
      <c r="M1225" s="283">
        <v>0.5</v>
      </c>
      <c r="N1225" s="283" t="s">
        <v>769</v>
      </c>
      <c r="O1225" s="374" t="s">
        <v>1902</v>
      </c>
      <c r="P1225" s="283">
        <f>P1220</f>
        <v>651</v>
      </c>
      <c r="Q1225" s="744" t="s">
        <v>769</v>
      </c>
      <c r="R1225" s="283">
        <f t="shared" si="165"/>
        <v>325.5</v>
      </c>
      <c r="T1225" s="283">
        <f t="shared" si="166"/>
        <v>325.5</v>
      </c>
      <c r="W1225" s="744"/>
      <c r="Y1225" s="283">
        <v>1.1000000000000001</v>
      </c>
      <c r="Z1225" s="283" t="s">
        <v>769</v>
      </c>
      <c r="AA1225" s="374" t="s">
        <v>320</v>
      </c>
      <c r="AB1225" s="283">
        <f t="shared" si="164"/>
        <v>534</v>
      </c>
      <c r="AC1225" s="374" t="s">
        <v>769</v>
      </c>
      <c r="AD1225" s="283">
        <f>(Y1225*AB1225)</f>
        <v>587.4</v>
      </c>
      <c r="AE1225" s="283" t="str">
        <f t="shared" si="163"/>
        <v>|</v>
      </c>
      <c r="AG1225" s="374" t="s">
        <v>2259</v>
      </c>
    </row>
    <row r="1226" spans="6:33" ht="24" customHeight="1">
      <c r="F1226" s="283">
        <v>2.2000000000000002</v>
      </c>
      <c r="G1226" s="283" t="s">
        <v>769</v>
      </c>
      <c r="H1226" s="374" t="s">
        <v>320</v>
      </c>
      <c r="I1226" s="283">
        <f>(C13)</f>
        <v>534</v>
      </c>
      <c r="J1226" s="374" t="s">
        <v>769</v>
      </c>
      <c r="K1226" s="283">
        <f>(F1226*I1226)</f>
        <v>1174.8</v>
      </c>
      <c r="M1226" s="283">
        <v>1.1000000000000001</v>
      </c>
      <c r="N1226" s="283" t="s">
        <v>769</v>
      </c>
      <c r="O1226" s="374" t="s">
        <v>320</v>
      </c>
      <c r="P1226" s="283">
        <f>P1221</f>
        <v>534</v>
      </c>
      <c r="Q1226" s="744" t="s">
        <v>769</v>
      </c>
      <c r="R1226" s="283">
        <f t="shared" si="165"/>
        <v>587.4</v>
      </c>
      <c r="T1226" s="283">
        <f t="shared" si="166"/>
        <v>587.4</v>
      </c>
      <c r="W1226" s="744"/>
      <c r="Z1226" s="283" t="s">
        <v>449</v>
      </c>
      <c r="AA1226" s="374" t="s">
        <v>450</v>
      </c>
      <c r="AB1226" s="283">
        <f t="shared" si="164"/>
        <v>0</v>
      </c>
      <c r="AC1226" s="374" t="s">
        <v>449</v>
      </c>
      <c r="AD1226" s="283">
        <v>0</v>
      </c>
      <c r="AE1226" s="283" t="str">
        <f t="shared" si="163"/>
        <v>|</v>
      </c>
      <c r="AG1226" s="374" t="s">
        <v>2259</v>
      </c>
    </row>
    <row r="1227" spans="6:33" ht="24" customHeight="1">
      <c r="F1227" s="746">
        <v>22</v>
      </c>
      <c r="G1227" s="283" t="s">
        <v>1645</v>
      </c>
      <c r="H1227" s="374" t="s">
        <v>862</v>
      </c>
      <c r="I1227" s="283">
        <f>(C68)</f>
        <v>6040</v>
      </c>
      <c r="J1227" s="374" t="s">
        <v>861</v>
      </c>
      <c r="K1227" s="283">
        <f>(F1227*I1227)/1000</f>
        <v>132.88</v>
      </c>
      <c r="N1227" s="283" t="s">
        <v>449</v>
      </c>
      <c r="O1227" s="374" t="s">
        <v>450</v>
      </c>
      <c r="Q1227" s="744" t="s">
        <v>449</v>
      </c>
      <c r="R1227" s="283">
        <v>4.5999999999999996</v>
      </c>
      <c r="S1227" s="746">
        <f>3.27-0.52</f>
        <v>2.75</v>
      </c>
      <c r="T1227" s="283">
        <v>2.74</v>
      </c>
      <c r="W1227" s="744"/>
      <c r="AB1227" s="283">
        <f t="shared" si="164"/>
        <v>0</v>
      </c>
      <c r="AC1227" s="374"/>
      <c r="AD1227" s="748" t="s">
        <v>1586</v>
      </c>
      <c r="AE1227" s="283" t="str">
        <f t="shared" si="163"/>
        <v>|</v>
      </c>
      <c r="AG1227" s="374" t="s">
        <v>2259</v>
      </c>
    </row>
    <row r="1228" spans="6:33" ht="24" customHeight="1">
      <c r="F1228" s="283">
        <v>1.6</v>
      </c>
      <c r="G1228" s="283" t="s">
        <v>769</v>
      </c>
      <c r="H1228" s="374" t="s">
        <v>1712</v>
      </c>
      <c r="I1228" s="283">
        <f>(C11)</f>
        <v>932</v>
      </c>
      <c r="J1228" s="374" t="s">
        <v>769</v>
      </c>
      <c r="K1228" s="283">
        <f>(F1228*I1228)</f>
        <v>1491.2</v>
      </c>
      <c r="Q1228" s="744"/>
      <c r="R1228" s="748" t="s">
        <v>1586</v>
      </c>
      <c r="W1228" s="744"/>
      <c r="AA1228" s="374" t="s">
        <v>441</v>
      </c>
      <c r="AC1228" s="374"/>
      <c r="AD1228" s="283">
        <f>SUM(AD1214:AD1226)</f>
        <v>23016.94</v>
      </c>
      <c r="AE1228" s="283" t="str">
        <f t="shared" si="163"/>
        <v>|::</v>
      </c>
      <c r="AG1228" s="374" t="s">
        <v>321</v>
      </c>
    </row>
    <row r="1229" spans="6:33" ht="24" customHeight="1">
      <c r="F1229" s="283">
        <v>0.5</v>
      </c>
      <c r="G1229" s="283" t="s">
        <v>769</v>
      </c>
      <c r="H1229" s="374" t="s">
        <v>1902</v>
      </c>
      <c r="I1229" s="283">
        <f>(C12)</f>
        <v>651</v>
      </c>
      <c r="J1229" s="374" t="s">
        <v>769</v>
      </c>
      <c r="K1229" s="283">
        <f>(F1229*I1229)</f>
        <v>325.5</v>
      </c>
      <c r="O1229" s="374" t="s">
        <v>441</v>
      </c>
      <c r="Q1229" s="744"/>
      <c r="R1229" s="283">
        <f>SUM(R1216:R1227)</f>
        <v>14909.2</v>
      </c>
      <c r="T1229" s="283">
        <f>SUM(T1216:T1228)</f>
        <v>15317.54</v>
      </c>
      <c r="W1229" s="744"/>
      <c r="AC1229" s="374"/>
      <c r="AD1229" s="748" t="s">
        <v>1586</v>
      </c>
      <c r="AE1229" s="283">
        <f t="shared" si="163"/>
        <v>0</v>
      </c>
    </row>
    <row r="1230" spans="6:33" ht="24" customHeight="1">
      <c r="F1230" s="283">
        <v>1.1000000000000001</v>
      </c>
      <c r="G1230" s="283" t="s">
        <v>769</v>
      </c>
      <c r="H1230" s="374" t="s">
        <v>320</v>
      </c>
      <c r="I1230" s="283">
        <f>(C13)</f>
        <v>534</v>
      </c>
      <c r="J1230" s="374" t="s">
        <v>769</v>
      </c>
      <c r="K1230" s="283">
        <f>(F1230*I1230)</f>
        <v>587.4</v>
      </c>
      <c r="Q1230" s="744"/>
      <c r="R1230" s="748" t="s">
        <v>1586</v>
      </c>
      <c r="W1230" s="744"/>
      <c r="AA1230" s="757" t="s">
        <v>552</v>
      </c>
      <c r="AC1230" s="374"/>
      <c r="AD1230" s="751">
        <f>(AD1228/10)</f>
        <v>2301.69</v>
      </c>
      <c r="AE1230" s="283">
        <f t="shared" si="163"/>
        <v>0</v>
      </c>
    </row>
    <row r="1231" spans="6:33" ht="24" customHeight="1">
      <c r="F1231" s="374" t="s">
        <v>249</v>
      </c>
      <c r="H1231" s="374" t="s">
        <v>1878</v>
      </c>
      <c r="I1231" s="374" t="s">
        <v>975</v>
      </c>
      <c r="K1231" s="374" t="s">
        <v>975</v>
      </c>
      <c r="O1231" s="745" t="s">
        <v>552</v>
      </c>
      <c r="Q1231" s="744"/>
      <c r="R1231" s="751">
        <f>(R1229/10)</f>
        <v>1490.92</v>
      </c>
      <c r="S1231" s="746">
        <f>R1231-975.62</f>
        <v>515.29999999999995</v>
      </c>
      <c r="T1231" s="751">
        <f>(T1229/10)</f>
        <v>1531.75</v>
      </c>
      <c r="W1231" s="744"/>
      <c r="AC1231" s="374"/>
      <c r="AD1231" s="748" t="s">
        <v>2055</v>
      </c>
      <c r="AE1231" s="283" t="str">
        <f t="shared" si="163"/>
        <v>|</v>
      </c>
      <c r="AG1231" s="374" t="s">
        <v>2259</v>
      </c>
    </row>
    <row r="1232" spans="6:33" ht="24" customHeight="1">
      <c r="F1232" s="283">
        <v>1</v>
      </c>
      <c r="G1232" s="283" t="s">
        <v>449</v>
      </c>
      <c r="H1232" s="374" t="s">
        <v>1879</v>
      </c>
      <c r="I1232" s="283">
        <f>(C58)</f>
        <v>28.58</v>
      </c>
      <c r="J1232" s="374" t="s">
        <v>449</v>
      </c>
      <c r="K1232" s="283">
        <f>(F1232*I1232)</f>
        <v>28.58</v>
      </c>
      <c r="O1232" s="753" t="s">
        <v>3877</v>
      </c>
      <c r="P1232" s="751"/>
      <c r="Q1232" s="744"/>
      <c r="W1232" s="744"/>
      <c r="AE1232" s="283" t="str">
        <f t="shared" si="163"/>
        <v>|</v>
      </c>
      <c r="AG1232" s="374" t="s">
        <v>2259</v>
      </c>
    </row>
    <row r="1233" spans="6:33" ht="24" customHeight="1">
      <c r="F1233" s="283">
        <v>1</v>
      </c>
      <c r="G1233" s="283" t="s">
        <v>449</v>
      </c>
      <c r="H1233" s="374" t="s">
        <v>1880</v>
      </c>
      <c r="I1233" s="283">
        <f>(C59)</f>
        <v>11.9</v>
      </c>
      <c r="J1233" s="374" t="s">
        <v>449</v>
      </c>
      <c r="K1233" s="283">
        <f>(F1233*I1233)</f>
        <v>11.9</v>
      </c>
      <c r="Q1233" s="744"/>
      <c r="W1233" s="744"/>
      <c r="AE1233" s="283" t="str">
        <f t="shared" si="163"/>
        <v>|</v>
      </c>
      <c r="AG1233" s="374" t="s">
        <v>2259</v>
      </c>
    </row>
    <row r="1234" spans="6:33" ht="24" customHeight="1">
      <c r="F1234" s="283">
        <v>1</v>
      </c>
      <c r="G1234" s="283" t="s">
        <v>449</v>
      </c>
      <c r="H1234" s="374" t="s">
        <v>177</v>
      </c>
      <c r="I1234" s="283">
        <f>(C28)</f>
        <v>86.4</v>
      </c>
      <c r="J1234" s="374" t="s">
        <v>449</v>
      </c>
      <c r="K1234" s="283">
        <f>(F1234*I1234)</f>
        <v>86.4</v>
      </c>
      <c r="Q1234" s="744"/>
      <c r="W1234" s="744"/>
      <c r="AE1234" s="283" t="str">
        <f t="shared" si="163"/>
        <v>|</v>
      </c>
      <c r="AG1234" s="374" t="s">
        <v>2259</v>
      </c>
    </row>
    <row r="1235" spans="6:33" ht="24" customHeight="1">
      <c r="F1235" s="283">
        <v>1.1000000000000001</v>
      </c>
      <c r="G1235" s="283" t="s">
        <v>769</v>
      </c>
      <c r="H1235" s="374" t="s">
        <v>856</v>
      </c>
      <c r="I1235" s="283">
        <f>(C29)</f>
        <v>769</v>
      </c>
      <c r="J1235" s="374" t="s">
        <v>769</v>
      </c>
      <c r="K1235" s="283">
        <f>(F1235*I1235)</f>
        <v>845.9</v>
      </c>
      <c r="M1235" s="283">
        <v>10</v>
      </c>
      <c r="N1235" s="283" t="s">
        <v>609</v>
      </c>
      <c r="O1235" s="374" t="s">
        <v>5312</v>
      </c>
      <c r="P1235" s="283">
        <v>658</v>
      </c>
      <c r="Q1235" s="744" t="s">
        <v>609</v>
      </c>
      <c r="R1235" s="283">
        <f>M1235*P1235</f>
        <v>6580</v>
      </c>
      <c r="U1235" s="753" t="s">
        <v>3904</v>
      </c>
      <c r="W1235" s="744"/>
      <c r="AE1235" s="283" t="str">
        <f t="shared" si="163"/>
        <v>|</v>
      </c>
      <c r="AG1235" s="374" t="s">
        <v>2259</v>
      </c>
    </row>
    <row r="1236" spans="6:33" ht="24" customHeight="1">
      <c r="F1236" s="283">
        <v>2.2000000000000002</v>
      </c>
      <c r="G1236" s="283" t="s">
        <v>769</v>
      </c>
      <c r="H1236" s="374" t="s">
        <v>857</v>
      </c>
      <c r="I1236" s="283">
        <f>(C13)</f>
        <v>534</v>
      </c>
      <c r="J1236" s="374" t="s">
        <v>769</v>
      </c>
      <c r="K1236" s="283">
        <f>(F1236*I1236)</f>
        <v>1174.8</v>
      </c>
      <c r="M1236" s="283">
        <v>0.21</v>
      </c>
      <c r="N1236" s="283" t="s">
        <v>869</v>
      </c>
      <c r="O1236" s="374" t="s">
        <v>1876</v>
      </c>
      <c r="P1236" s="283">
        <f>P1259</f>
        <v>5089.26</v>
      </c>
      <c r="Q1236" s="744" t="s">
        <v>869</v>
      </c>
      <c r="R1236" s="283">
        <f>(M1236*P1236)</f>
        <v>1068.74</v>
      </c>
      <c r="W1236" s="744"/>
      <c r="AE1236" s="283" t="str">
        <f t="shared" si="163"/>
        <v>|</v>
      </c>
      <c r="AG1236" s="374" t="s">
        <v>2259</v>
      </c>
    </row>
    <row r="1237" spans="6:33" ht="24" customHeight="1">
      <c r="G1237" s="283" t="s">
        <v>449</v>
      </c>
      <c r="H1237" s="374" t="s">
        <v>450</v>
      </c>
      <c r="J1237" s="374" t="s">
        <v>449</v>
      </c>
      <c r="K1237" s="283">
        <v>0</v>
      </c>
      <c r="M1237" s="283">
        <v>1.1000000000000001</v>
      </c>
      <c r="N1237" s="283" t="s">
        <v>769</v>
      </c>
      <c r="O1237" s="374" t="s">
        <v>2009</v>
      </c>
      <c r="P1237" s="283">
        <f t="shared" ref="P1237:P1245" si="167">P1260</f>
        <v>999</v>
      </c>
      <c r="Q1237" s="744" t="s">
        <v>769</v>
      </c>
      <c r="R1237" s="283">
        <f>(M1237*P1237)</f>
        <v>1098.9000000000001</v>
      </c>
      <c r="W1237" s="744"/>
      <c r="AE1237" s="283" t="str">
        <f t="shared" si="163"/>
        <v>|</v>
      </c>
      <c r="AG1237" s="374" t="s">
        <v>2259</v>
      </c>
    </row>
    <row r="1238" spans="6:33" ht="24" customHeight="1">
      <c r="K1238" s="748" t="s">
        <v>1586</v>
      </c>
      <c r="M1238" s="283">
        <v>1.1000000000000001</v>
      </c>
      <c r="N1238" s="283" t="s">
        <v>769</v>
      </c>
      <c r="O1238" s="374" t="s">
        <v>1712</v>
      </c>
      <c r="P1238" s="283">
        <f t="shared" si="167"/>
        <v>932</v>
      </c>
      <c r="Q1238" s="744" t="s">
        <v>769</v>
      </c>
      <c r="R1238" s="283">
        <f>(M1238*P1238)</f>
        <v>1025.2</v>
      </c>
      <c r="S1238" s="746">
        <v>10</v>
      </c>
      <c r="T1238" s="283" t="s">
        <v>609</v>
      </c>
      <c r="U1238" s="374" t="s">
        <v>6032</v>
      </c>
      <c r="V1238" s="784">
        <v>658</v>
      </c>
      <c r="W1238" s="744" t="s">
        <v>609</v>
      </c>
      <c r="X1238" s="283">
        <f>S1238*V1238</f>
        <v>6580</v>
      </c>
      <c r="Y1238" s="765">
        <v>29.5</v>
      </c>
      <c r="Z1238" s="283" t="s">
        <v>2251</v>
      </c>
      <c r="AA1238" s="745" t="s">
        <v>3795</v>
      </c>
      <c r="AE1238" s="283" t="str">
        <f t="shared" si="163"/>
        <v>|</v>
      </c>
      <c r="AG1238" s="374" t="s">
        <v>2259</v>
      </c>
    </row>
    <row r="1239" spans="6:33" ht="24" customHeight="1">
      <c r="H1239" s="374" t="s">
        <v>441</v>
      </c>
      <c r="K1239" s="283">
        <f>SUM(K1219:K1237)</f>
        <v>12389.52</v>
      </c>
      <c r="M1239" s="283">
        <v>2.2000000000000002</v>
      </c>
      <c r="N1239" s="283" t="s">
        <v>769</v>
      </c>
      <c r="O1239" s="374" t="s">
        <v>1902</v>
      </c>
      <c r="P1239" s="283">
        <f t="shared" si="167"/>
        <v>651</v>
      </c>
      <c r="Q1239" s="744" t="s">
        <v>769</v>
      </c>
      <c r="R1239" s="283">
        <f>(M1239*P1239)</f>
        <v>1432.2</v>
      </c>
      <c r="S1239" s="746">
        <v>0.21</v>
      </c>
      <c r="T1239" s="283" t="s">
        <v>869</v>
      </c>
      <c r="U1239" s="374" t="s">
        <v>1876</v>
      </c>
      <c r="V1239" s="283">
        <f t="shared" ref="V1239:V1248" si="168">P1259</f>
        <v>5089.26</v>
      </c>
      <c r="W1239" s="744" t="s">
        <v>869</v>
      </c>
      <c r="X1239" s="283">
        <f>(S1239*V1239)</f>
        <v>1068.74</v>
      </c>
      <c r="AA1239" s="374"/>
      <c r="AE1239" s="283" t="str">
        <f t="shared" si="163"/>
        <v>|</v>
      </c>
      <c r="AG1239" s="374" t="s">
        <v>2259</v>
      </c>
    </row>
    <row r="1240" spans="6:33" ht="24" customHeight="1">
      <c r="K1240" s="748" t="s">
        <v>1586</v>
      </c>
      <c r="M1240" s="283">
        <v>2.2000000000000002</v>
      </c>
      <c r="N1240" s="283" t="s">
        <v>769</v>
      </c>
      <c r="O1240" s="374" t="s">
        <v>320</v>
      </c>
      <c r="P1240" s="283">
        <f t="shared" si="167"/>
        <v>534</v>
      </c>
      <c r="Q1240" s="744" t="s">
        <v>769</v>
      </c>
      <c r="R1240" s="283">
        <f>(M1240*P1240)</f>
        <v>1174.8</v>
      </c>
      <c r="S1240" s="746">
        <v>1.1000000000000001</v>
      </c>
      <c r="T1240" s="283" t="s">
        <v>769</v>
      </c>
      <c r="U1240" s="374" t="s">
        <v>2009</v>
      </c>
      <c r="V1240" s="283">
        <f t="shared" si="168"/>
        <v>999</v>
      </c>
      <c r="W1240" s="744" t="s">
        <v>769</v>
      </c>
      <c r="X1240" s="283">
        <f>(S1240*V1240)</f>
        <v>1098.9000000000001</v>
      </c>
      <c r="AA1240" s="374"/>
      <c r="AE1240" s="283" t="str">
        <f t="shared" si="163"/>
        <v>|</v>
      </c>
      <c r="AG1240" s="374" t="s">
        <v>2259</v>
      </c>
    </row>
    <row r="1241" spans="6:33" ht="24" customHeight="1">
      <c r="F1241" s="374" t="s">
        <v>975</v>
      </c>
      <c r="M1241" s="746">
        <v>20</v>
      </c>
      <c r="N1241" s="283" t="s">
        <v>1645</v>
      </c>
      <c r="O1241" s="374" t="s">
        <v>862</v>
      </c>
      <c r="P1241" s="283">
        <f t="shared" si="167"/>
        <v>6040</v>
      </c>
      <c r="Q1241" s="744" t="s">
        <v>861</v>
      </c>
      <c r="R1241" s="283">
        <f>(M1241*P1241)/1000</f>
        <v>120.8</v>
      </c>
      <c r="S1241" s="746">
        <v>1.1000000000000001</v>
      </c>
      <c r="T1241" s="283" t="s">
        <v>769</v>
      </c>
      <c r="U1241" s="374" t="s">
        <v>1712</v>
      </c>
      <c r="V1241" s="283">
        <f t="shared" si="168"/>
        <v>932</v>
      </c>
      <c r="W1241" s="744" t="s">
        <v>769</v>
      </c>
      <c r="X1241" s="283">
        <f>(S1241*V1241)</f>
        <v>1025.2</v>
      </c>
      <c r="AA1241" s="748" t="s">
        <v>1586</v>
      </c>
      <c r="AB1241" s="748" t="s">
        <v>1586</v>
      </c>
      <c r="AC1241" s="374"/>
      <c r="AE1241" s="283" t="str">
        <f t="shared" si="163"/>
        <v>|</v>
      </c>
      <c r="AG1241" s="374" t="s">
        <v>2259</v>
      </c>
    </row>
    <row r="1242" spans="6:33" ht="45.75" customHeight="1">
      <c r="H1242" s="757" t="s">
        <v>552</v>
      </c>
      <c r="K1242" s="751">
        <f>(K1239/10)</f>
        <v>1238.95</v>
      </c>
      <c r="M1242" s="746">
        <v>2</v>
      </c>
      <c r="N1242" s="283" t="s">
        <v>1645</v>
      </c>
      <c r="O1242" s="374" t="s">
        <v>1528</v>
      </c>
      <c r="P1242" s="283">
        <f t="shared" si="167"/>
        <v>36.1</v>
      </c>
      <c r="Q1242" s="744" t="s">
        <v>1645</v>
      </c>
      <c r="R1242" s="283">
        <f>(M1242*P1242)</f>
        <v>72.2</v>
      </c>
      <c r="S1242" s="746">
        <v>2.2000000000000002</v>
      </c>
      <c r="T1242" s="283" t="s">
        <v>769</v>
      </c>
      <c r="U1242" s="374" t="s">
        <v>1902</v>
      </c>
      <c r="V1242" s="283">
        <f t="shared" si="168"/>
        <v>651</v>
      </c>
      <c r="W1242" s="744" t="s">
        <v>769</v>
      </c>
      <c r="X1242" s="283">
        <f>(S1242*V1242)</f>
        <v>1432.2</v>
      </c>
      <c r="Y1242" s="283">
        <v>10</v>
      </c>
      <c r="Z1242" s="283" t="s">
        <v>609</v>
      </c>
      <c r="AA1242" s="780" t="s">
        <v>5313</v>
      </c>
      <c r="AB1242" s="283">
        <v>793</v>
      </c>
      <c r="AC1242" s="374" t="s">
        <v>609</v>
      </c>
      <c r="AD1242" s="283">
        <f>(Y1242*AB1242)</f>
        <v>7930</v>
      </c>
      <c r="AE1242" s="283" t="str">
        <f t="shared" si="163"/>
        <v>|</v>
      </c>
      <c r="AG1242" s="374" t="s">
        <v>2259</v>
      </c>
    </row>
    <row r="1243" spans="6:33" ht="24" customHeight="1">
      <c r="F1243" s="374" t="s">
        <v>975</v>
      </c>
      <c r="M1243" s="283">
        <v>1.6</v>
      </c>
      <c r="N1243" s="283" t="s">
        <v>769</v>
      </c>
      <c r="O1243" s="374" t="s">
        <v>1712</v>
      </c>
      <c r="P1243" s="283">
        <f t="shared" si="167"/>
        <v>932</v>
      </c>
      <c r="Q1243" s="744" t="s">
        <v>769</v>
      </c>
      <c r="R1243" s="283">
        <f>(M1243*P1243)</f>
        <v>1491.2</v>
      </c>
      <c r="S1243" s="746">
        <v>2.2000000000000002</v>
      </c>
      <c r="T1243" s="283" t="s">
        <v>769</v>
      </c>
      <c r="U1243" s="374" t="s">
        <v>320</v>
      </c>
      <c r="V1243" s="283">
        <f t="shared" si="168"/>
        <v>534</v>
      </c>
      <c r="W1243" s="744" t="s">
        <v>769</v>
      </c>
      <c r="X1243" s="283">
        <f>(S1243*V1243)</f>
        <v>1174.8</v>
      </c>
      <c r="Y1243" s="283">
        <v>0.21</v>
      </c>
      <c r="Z1243" s="283" t="s">
        <v>869</v>
      </c>
      <c r="AA1243" s="374" t="s">
        <v>1876</v>
      </c>
      <c r="AB1243" s="283">
        <f>V1239</f>
        <v>5089.26</v>
      </c>
      <c r="AC1243" s="374" t="s">
        <v>869</v>
      </c>
      <c r="AD1243" s="283">
        <f>(Y1243*AB1243)</f>
        <v>1068.74</v>
      </c>
      <c r="AE1243" s="283" t="str">
        <f t="shared" si="163"/>
        <v>|</v>
      </c>
      <c r="AG1243" s="374" t="s">
        <v>2259</v>
      </c>
    </row>
    <row r="1244" spans="6:33" ht="24" customHeight="1">
      <c r="K1244" s="748" t="s">
        <v>2055</v>
      </c>
      <c r="M1244" s="283">
        <v>0.5</v>
      </c>
      <c r="N1244" s="283" t="s">
        <v>769</v>
      </c>
      <c r="O1244" s="374" t="s">
        <v>1902</v>
      </c>
      <c r="P1244" s="283">
        <f t="shared" si="167"/>
        <v>651</v>
      </c>
      <c r="Q1244" s="744" t="s">
        <v>769</v>
      </c>
      <c r="R1244" s="283">
        <f>(M1244*P1244)</f>
        <v>325.5</v>
      </c>
      <c r="S1244" s="746">
        <v>20</v>
      </c>
      <c r="T1244" s="283" t="s">
        <v>1645</v>
      </c>
      <c r="U1244" s="374" t="s">
        <v>862</v>
      </c>
      <c r="V1244" s="283">
        <f t="shared" si="168"/>
        <v>6040</v>
      </c>
      <c r="W1244" s="744" t="s">
        <v>861</v>
      </c>
      <c r="X1244" s="283">
        <f>(S1244*V1244)/1000</f>
        <v>120.8</v>
      </c>
      <c r="AA1244" s="374" t="s">
        <v>1877</v>
      </c>
      <c r="AB1244" s="374" t="s">
        <v>975</v>
      </c>
      <c r="AC1244" s="374"/>
      <c r="AD1244" s="374" t="s">
        <v>975</v>
      </c>
      <c r="AE1244" s="283" t="str">
        <f t="shared" si="163"/>
        <v>|</v>
      </c>
      <c r="AG1244" s="374" t="s">
        <v>2259</v>
      </c>
    </row>
    <row r="1245" spans="6:33" ht="24" customHeight="1">
      <c r="F1245" s="765">
        <v>29.5</v>
      </c>
      <c r="G1245" s="283" t="s">
        <v>2251</v>
      </c>
      <c r="H1245" s="374" t="s">
        <v>1813</v>
      </c>
      <c r="M1245" s="283">
        <v>1.1000000000000001</v>
      </c>
      <c r="N1245" s="283" t="s">
        <v>769</v>
      </c>
      <c r="O1245" s="374" t="s">
        <v>320</v>
      </c>
      <c r="P1245" s="283">
        <f t="shared" si="167"/>
        <v>534</v>
      </c>
      <c r="Q1245" s="744" t="s">
        <v>769</v>
      </c>
      <c r="R1245" s="283">
        <f>(M1245*P1245)</f>
        <v>587.4</v>
      </c>
      <c r="S1245" s="746">
        <v>2</v>
      </c>
      <c r="T1245" s="283" t="s">
        <v>1645</v>
      </c>
      <c r="U1245" s="374" t="s">
        <v>1528</v>
      </c>
      <c r="V1245" s="283">
        <f t="shared" si="168"/>
        <v>36.1</v>
      </c>
      <c r="W1245" s="744" t="s">
        <v>1645</v>
      </c>
      <c r="X1245" s="283">
        <f>(S1245*V1245)</f>
        <v>72.2</v>
      </c>
      <c r="Y1245" s="283">
        <v>1.1000000000000001</v>
      </c>
      <c r="Z1245" s="283" t="s">
        <v>769</v>
      </c>
      <c r="AA1245" s="374" t="s">
        <v>2009</v>
      </c>
      <c r="AB1245" s="283">
        <f>V1240</f>
        <v>999</v>
      </c>
      <c r="AC1245" s="374" t="s">
        <v>769</v>
      </c>
      <c r="AD1245" s="283">
        <f>(Y1245*AB1245)</f>
        <v>1098.9000000000001</v>
      </c>
      <c r="AE1245" s="283" t="str">
        <f t="shared" si="163"/>
        <v>|</v>
      </c>
      <c r="AG1245" s="374" t="s">
        <v>2259</v>
      </c>
    </row>
    <row r="1246" spans="6:33" ht="24" customHeight="1">
      <c r="H1246" s="374" t="s">
        <v>858</v>
      </c>
      <c r="N1246" s="283" t="s">
        <v>449</v>
      </c>
      <c r="O1246" s="374" t="s">
        <v>450</v>
      </c>
      <c r="Q1246" s="744" t="s">
        <v>449</v>
      </c>
      <c r="R1246" s="283">
        <v>0</v>
      </c>
      <c r="S1246" s="746">
        <v>1.6</v>
      </c>
      <c r="T1246" s="283" t="s">
        <v>769</v>
      </c>
      <c r="U1246" s="374" t="s">
        <v>1712</v>
      </c>
      <c r="V1246" s="283">
        <f t="shared" si="168"/>
        <v>932</v>
      </c>
      <c r="W1246" s="744" t="s">
        <v>769</v>
      </c>
      <c r="X1246" s="283">
        <f>(S1246*V1246)</f>
        <v>1491.2</v>
      </c>
      <c r="Y1246" s="283">
        <v>1.1000000000000001</v>
      </c>
      <c r="Z1246" s="283" t="s">
        <v>769</v>
      </c>
      <c r="AA1246" s="374" t="s">
        <v>1712</v>
      </c>
      <c r="AB1246" s="283">
        <f>V1241</f>
        <v>932</v>
      </c>
      <c r="AC1246" s="374" t="s">
        <v>769</v>
      </c>
      <c r="AD1246" s="283">
        <f>(Y1246*AB1246)</f>
        <v>1025.2</v>
      </c>
      <c r="AE1246" s="283" t="str">
        <f t="shared" si="163"/>
        <v>|</v>
      </c>
      <c r="AG1246" s="374" t="s">
        <v>2259</v>
      </c>
    </row>
    <row r="1247" spans="6:33" ht="24" customHeight="1">
      <c r="H1247" s="374" t="s">
        <v>1936</v>
      </c>
      <c r="Q1247" s="744"/>
      <c r="R1247" s="748"/>
      <c r="S1247" s="746">
        <v>0.5</v>
      </c>
      <c r="T1247" s="283" t="s">
        <v>769</v>
      </c>
      <c r="U1247" s="374" t="s">
        <v>1902</v>
      </c>
      <c r="V1247" s="283">
        <f t="shared" si="168"/>
        <v>651</v>
      </c>
      <c r="W1247" s="744" t="s">
        <v>769</v>
      </c>
      <c r="X1247" s="283">
        <f>(S1247*V1247)</f>
        <v>325.5</v>
      </c>
      <c r="Y1247" s="283">
        <v>2.2000000000000002</v>
      </c>
      <c r="Z1247" s="283" t="s">
        <v>769</v>
      </c>
      <c r="AA1247" s="374" t="s">
        <v>1902</v>
      </c>
      <c r="AB1247" s="283">
        <f>V1242</f>
        <v>651</v>
      </c>
      <c r="AC1247" s="374" t="s">
        <v>769</v>
      </c>
      <c r="AD1247" s="283">
        <f>(Y1247*AB1247)</f>
        <v>1432.2</v>
      </c>
      <c r="AE1247" s="283" t="str">
        <f t="shared" si="163"/>
        <v>|</v>
      </c>
      <c r="AG1247" s="374" t="s">
        <v>2259</v>
      </c>
    </row>
    <row r="1248" spans="6:33" ht="24" customHeight="1">
      <c r="H1248" s="748" t="s">
        <v>1586</v>
      </c>
      <c r="I1248" s="748" t="s">
        <v>1586</v>
      </c>
      <c r="O1248" s="374" t="s">
        <v>441</v>
      </c>
      <c r="Q1248" s="744"/>
      <c r="R1248" s="283">
        <f>SUM(R1235:R1246)</f>
        <v>14976.94</v>
      </c>
      <c r="S1248" s="746">
        <v>1.1000000000000001</v>
      </c>
      <c r="T1248" s="283" t="s">
        <v>769</v>
      </c>
      <c r="U1248" s="374" t="s">
        <v>320</v>
      </c>
      <c r="V1248" s="283">
        <f t="shared" si="168"/>
        <v>534</v>
      </c>
      <c r="W1248" s="744" t="s">
        <v>769</v>
      </c>
      <c r="X1248" s="283">
        <f>(S1248*V1248)</f>
        <v>587.4</v>
      </c>
      <c r="Y1248" s="283">
        <v>2.2000000000000002</v>
      </c>
      <c r="Z1248" s="283" t="s">
        <v>769</v>
      </c>
      <c r="AA1248" s="374" t="s">
        <v>320</v>
      </c>
      <c r="AB1248" s="283">
        <f>V1243</f>
        <v>534</v>
      </c>
      <c r="AC1248" s="374" t="s">
        <v>769</v>
      </c>
      <c r="AD1248" s="283">
        <f>(Y1248*AB1248)</f>
        <v>1174.8</v>
      </c>
      <c r="AE1248" s="283" t="str">
        <f t="shared" si="163"/>
        <v>|</v>
      </c>
      <c r="AG1248" s="374" t="s">
        <v>2259</v>
      </c>
    </row>
    <row r="1249" spans="6:33" ht="24" customHeight="1">
      <c r="F1249" s="283">
        <v>10</v>
      </c>
      <c r="G1249" s="283" t="s">
        <v>609</v>
      </c>
      <c r="H1249" s="374" t="s">
        <v>1937</v>
      </c>
      <c r="I1249" s="283">
        <f>C602</f>
        <v>377.86</v>
      </c>
      <c r="J1249" s="374" t="s">
        <v>609</v>
      </c>
      <c r="K1249" s="283">
        <f>(F1249*I1249)</f>
        <v>3778.6</v>
      </c>
      <c r="Q1249" s="744"/>
      <c r="R1249" s="748" t="s">
        <v>1586</v>
      </c>
      <c r="T1249" s="283" t="s">
        <v>449</v>
      </c>
      <c r="U1249" s="374" t="s">
        <v>450</v>
      </c>
      <c r="W1249" s="744" t="s">
        <v>449</v>
      </c>
      <c r="X1249" s="283">
        <v>0.18</v>
      </c>
      <c r="Y1249" s="746">
        <v>20</v>
      </c>
      <c r="Z1249" s="283" t="s">
        <v>1645</v>
      </c>
      <c r="AA1249" s="374" t="s">
        <v>862</v>
      </c>
      <c r="AB1249" s="283">
        <f>V1244</f>
        <v>6040</v>
      </c>
      <c r="AC1249" s="374" t="s">
        <v>861</v>
      </c>
      <c r="AD1249" s="283">
        <f>(Y1249*AB1249)/1000</f>
        <v>120.8</v>
      </c>
      <c r="AE1249" s="283" t="str">
        <f t="shared" si="163"/>
        <v>|</v>
      </c>
      <c r="AG1249" s="374" t="s">
        <v>2259</v>
      </c>
    </row>
    <row r="1250" spans="6:33" ht="24" customHeight="1">
      <c r="F1250" s="283">
        <v>0.21</v>
      </c>
      <c r="G1250" s="283" t="s">
        <v>869</v>
      </c>
      <c r="H1250" s="374" t="s">
        <v>1876</v>
      </c>
      <c r="I1250" s="283">
        <f>(K32)</f>
        <v>5089.26</v>
      </c>
      <c r="J1250" s="374" t="s">
        <v>869</v>
      </c>
      <c r="K1250" s="283">
        <f>(F1250*I1250)</f>
        <v>1068.74</v>
      </c>
      <c r="O1250" s="745" t="s">
        <v>552</v>
      </c>
      <c r="Q1250" s="744"/>
      <c r="R1250" s="751">
        <f>(R1248/10)</f>
        <v>1497.69</v>
      </c>
      <c r="W1250" s="744"/>
      <c r="X1250" s="748" t="s">
        <v>1586</v>
      </c>
      <c r="Y1250" s="746">
        <v>2</v>
      </c>
      <c r="Z1250" s="283" t="s">
        <v>1645</v>
      </c>
      <c r="AA1250" s="374" t="s">
        <v>2081</v>
      </c>
      <c r="AB1250" s="283">
        <v>36.1</v>
      </c>
      <c r="AC1250" s="374" t="s">
        <v>1645</v>
      </c>
      <c r="AD1250" s="283">
        <f>(Y1250*AB1250)</f>
        <v>72.2</v>
      </c>
      <c r="AE1250" s="283">
        <f t="shared" si="163"/>
        <v>0</v>
      </c>
    </row>
    <row r="1251" spans="6:33" ht="24" customHeight="1">
      <c r="H1251" s="374" t="s">
        <v>1877</v>
      </c>
      <c r="I1251" s="374" t="s">
        <v>975</v>
      </c>
      <c r="K1251" s="374" t="s">
        <v>975</v>
      </c>
      <c r="Q1251" s="744"/>
      <c r="R1251" s="748"/>
      <c r="U1251" s="374" t="s">
        <v>441</v>
      </c>
      <c r="W1251" s="744"/>
      <c r="X1251" s="283">
        <f>SUM(X1238:X1249)</f>
        <v>14977.12</v>
      </c>
      <c r="Y1251" s="283">
        <v>1.6</v>
      </c>
      <c r="Z1251" s="283" t="s">
        <v>769</v>
      </c>
      <c r="AA1251" s="374" t="s">
        <v>1712</v>
      </c>
      <c r="AB1251" s="283">
        <f>V1246</f>
        <v>932</v>
      </c>
      <c r="AC1251" s="374" t="s">
        <v>769</v>
      </c>
      <c r="AD1251" s="283">
        <f>(Y1251*AB1251)</f>
        <v>1491.2</v>
      </c>
      <c r="AE1251" s="283" t="str">
        <f t="shared" si="163"/>
        <v>|</v>
      </c>
      <c r="AG1251" s="374" t="s">
        <v>2259</v>
      </c>
    </row>
    <row r="1252" spans="6:33" ht="24" customHeight="1">
      <c r="F1252" s="283">
        <v>1.1000000000000001</v>
      </c>
      <c r="G1252" s="283" t="s">
        <v>769</v>
      </c>
      <c r="H1252" s="374" t="s">
        <v>2009</v>
      </c>
      <c r="I1252" s="283">
        <f>(C10)</f>
        <v>999</v>
      </c>
      <c r="J1252" s="374" t="s">
        <v>769</v>
      </c>
      <c r="K1252" s="283">
        <f>(F1252*I1252)</f>
        <v>1098.9000000000001</v>
      </c>
      <c r="Q1252" s="744"/>
      <c r="R1252" s="748"/>
      <c r="W1252" s="744"/>
      <c r="X1252" s="748" t="s">
        <v>1586</v>
      </c>
      <c r="Y1252" s="283">
        <v>0.5</v>
      </c>
      <c r="Z1252" s="283" t="s">
        <v>769</v>
      </c>
      <c r="AA1252" s="374" t="s">
        <v>1902</v>
      </c>
      <c r="AB1252" s="283">
        <f>V1247</f>
        <v>651</v>
      </c>
      <c r="AC1252" s="374" t="s">
        <v>769</v>
      </c>
      <c r="AD1252" s="283">
        <f>(Y1252*AB1252)</f>
        <v>325.5</v>
      </c>
      <c r="AE1252" s="283">
        <f t="shared" si="163"/>
        <v>0</v>
      </c>
    </row>
    <row r="1253" spans="6:33" ht="24" customHeight="1">
      <c r="F1253" s="283">
        <v>1.1000000000000001</v>
      </c>
      <c r="G1253" s="283" t="s">
        <v>769</v>
      </c>
      <c r="H1253" s="374" t="s">
        <v>1712</v>
      </c>
      <c r="I1253" s="283">
        <f>(C11)</f>
        <v>932</v>
      </c>
      <c r="J1253" s="374" t="s">
        <v>769</v>
      </c>
      <c r="K1253" s="283">
        <f>(F1253*I1253)</f>
        <v>1025.2</v>
      </c>
      <c r="Q1253" s="744"/>
      <c r="R1253" s="748"/>
      <c r="U1253" s="745" t="s">
        <v>552</v>
      </c>
      <c r="W1253" s="744"/>
      <c r="X1253" s="751">
        <f>(X1251/10)</f>
        <v>1497.71</v>
      </c>
      <c r="Y1253" s="283">
        <v>1.1000000000000001</v>
      </c>
      <c r="Z1253" s="283" t="s">
        <v>769</v>
      </c>
      <c r="AA1253" s="374" t="s">
        <v>320</v>
      </c>
      <c r="AB1253" s="283">
        <f>V1248</f>
        <v>534</v>
      </c>
      <c r="AC1253" s="374" t="s">
        <v>769</v>
      </c>
      <c r="AD1253" s="283">
        <f>(Y1253*AB1253)</f>
        <v>587.4</v>
      </c>
      <c r="AE1253" s="283" t="str">
        <f t="shared" si="163"/>
        <v>|</v>
      </c>
      <c r="AG1253" s="374" t="s">
        <v>2259</v>
      </c>
    </row>
    <row r="1254" spans="6:33" ht="24" customHeight="1">
      <c r="F1254" s="283">
        <v>2.2000000000000002</v>
      </c>
      <c r="G1254" s="283" t="s">
        <v>769</v>
      </c>
      <c r="H1254" s="374" t="s">
        <v>1902</v>
      </c>
      <c r="I1254" s="283">
        <f>(C12)</f>
        <v>651</v>
      </c>
      <c r="J1254" s="374" t="s">
        <v>769</v>
      </c>
      <c r="K1254" s="283">
        <f>(F1254*I1254)</f>
        <v>1432.2</v>
      </c>
      <c r="Q1254" s="744"/>
      <c r="R1254" s="748"/>
      <c r="W1254" s="744"/>
      <c r="Z1254" s="283" t="s">
        <v>449</v>
      </c>
      <c r="AA1254" s="374" t="s">
        <v>450</v>
      </c>
      <c r="AB1254" s="283">
        <f>V1249</f>
        <v>0</v>
      </c>
      <c r="AC1254" s="374" t="s">
        <v>449</v>
      </c>
      <c r="AD1254" s="283">
        <v>0</v>
      </c>
      <c r="AE1254" s="283" t="str">
        <f t="shared" si="163"/>
        <v>|</v>
      </c>
      <c r="AG1254" s="374" t="s">
        <v>2259</v>
      </c>
    </row>
    <row r="1255" spans="6:33" ht="24" customHeight="1">
      <c r="F1255" s="283">
        <v>2.2000000000000002</v>
      </c>
      <c r="G1255" s="283" t="s">
        <v>769</v>
      </c>
      <c r="H1255" s="374" t="s">
        <v>320</v>
      </c>
      <c r="I1255" s="283">
        <f>(C13)</f>
        <v>534</v>
      </c>
      <c r="J1255" s="374" t="s">
        <v>769</v>
      </c>
      <c r="K1255" s="283">
        <f>(F1255*I1255)</f>
        <v>1174.8</v>
      </c>
      <c r="O1255" s="751" t="s">
        <v>3615</v>
      </c>
      <c r="Q1255" s="744" t="s">
        <v>3858</v>
      </c>
      <c r="W1255" s="744"/>
      <c r="AC1255" s="374"/>
      <c r="AD1255" s="748" t="s">
        <v>1586</v>
      </c>
      <c r="AE1255" s="283" t="str">
        <f t="shared" si="163"/>
        <v>|</v>
      </c>
      <c r="AG1255" s="374" t="s">
        <v>2259</v>
      </c>
    </row>
    <row r="1256" spans="6:33" ht="24" customHeight="1">
      <c r="F1256" s="746">
        <v>20</v>
      </c>
      <c r="G1256" s="283" t="s">
        <v>1645</v>
      </c>
      <c r="H1256" s="374" t="s">
        <v>862</v>
      </c>
      <c r="I1256" s="283">
        <f>(C68)</f>
        <v>6040</v>
      </c>
      <c r="J1256" s="374" t="s">
        <v>861</v>
      </c>
      <c r="K1256" s="283">
        <f>(F1256*I1256)/1000</f>
        <v>120.8</v>
      </c>
      <c r="Q1256" s="744"/>
      <c r="W1256" s="744"/>
      <c r="AA1256" s="374" t="s">
        <v>441</v>
      </c>
      <c r="AC1256" s="374"/>
      <c r="AD1256" s="283">
        <f>SUM(AD1242:AD1254)</f>
        <v>16326.94</v>
      </c>
      <c r="AE1256" s="283" t="str">
        <f t="shared" si="163"/>
        <v>|</v>
      </c>
      <c r="AG1256" s="374" t="s">
        <v>2259</v>
      </c>
    </row>
    <row r="1257" spans="6:33" ht="24" customHeight="1">
      <c r="F1257" s="746">
        <v>2</v>
      </c>
      <c r="G1257" s="283" t="s">
        <v>1645</v>
      </c>
      <c r="H1257" s="374" t="s">
        <v>4228</v>
      </c>
      <c r="I1257" s="283">
        <v>36.1</v>
      </c>
      <c r="J1257" s="374" t="s">
        <v>1645</v>
      </c>
      <c r="K1257" s="283">
        <f>(F1257*I1257)</f>
        <v>72.2</v>
      </c>
      <c r="Q1257" s="744"/>
      <c r="W1257" s="744"/>
      <c r="AC1257" s="374"/>
      <c r="AD1257" s="748" t="s">
        <v>1586</v>
      </c>
      <c r="AE1257" s="283" t="str">
        <f t="shared" si="163"/>
        <v>|</v>
      </c>
      <c r="AG1257" s="374" t="s">
        <v>2259</v>
      </c>
    </row>
    <row r="1258" spans="6:33" ht="24" customHeight="1">
      <c r="F1258" s="283">
        <v>1.6</v>
      </c>
      <c r="G1258" s="283" t="s">
        <v>769</v>
      </c>
      <c r="H1258" s="374" t="s">
        <v>1712</v>
      </c>
      <c r="I1258" s="283">
        <f>(C11)</f>
        <v>932</v>
      </c>
      <c r="J1258" s="374" t="s">
        <v>769</v>
      </c>
      <c r="K1258" s="283">
        <f>(F1258*I1258)</f>
        <v>1491.2</v>
      </c>
      <c r="M1258" s="283">
        <v>10</v>
      </c>
      <c r="N1258" s="283" t="s">
        <v>609</v>
      </c>
      <c r="O1258" s="374" t="s">
        <v>6515</v>
      </c>
      <c r="P1258" s="784">
        <v>421.3</v>
      </c>
      <c r="Q1258" s="744" t="s">
        <v>609</v>
      </c>
      <c r="R1258" s="283">
        <f>M1258*P1258</f>
        <v>4213</v>
      </c>
      <c r="W1258" s="744"/>
      <c r="AA1258" s="757" t="s">
        <v>552</v>
      </c>
      <c r="AC1258" s="374"/>
      <c r="AD1258" s="751">
        <f>(AD1256/10)</f>
        <v>1632.69</v>
      </c>
      <c r="AE1258" s="750" t="s">
        <v>3501</v>
      </c>
      <c r="AG1258" s="374" t="s">
        <v>2259</v>
      </c>
    </row>
    <row r="1259" spans="6:33" ht="24" customHeight="1">
      <c r="F1259" s="283">
        <v>0.5</v>
      </c>
      <c r="G1259" s="283" t="s">
        <v>769</v>
      </c>
      <c r="H1259" s="374" t="s">
        <v>1902</v>
      </c>
      <c r="I1259" s="283">
        <f>(C12)</f>
        <v>651</v>
      </c>
      <c r="J1259" s="374" t="s">
        <v>769</v>
      </c>
      <c r="K1259" s="283">
        <f>(F1259*I1259)</f>
        <v>325.5</v>
      </c>
      <c r="M1259" s="283">
        <v>0.21</v>
      </c>
      <c r="N1259" s="283" t="s">
        <v>869</v>
      </c>
      <c r="O1259" s="374" t="s">
        <v>1876</v>
      </c>
      <c r="P1259" s="283">
        <f t="shared" ref="P1259:P1264" si="169">P1217</f>
        <v>5089.26</v>
      </c>
      <c r="Q1259" s="744" t="s">
        <v>869</v>
      </c>
      <c r="R1259" s="283">
        <f t="shared" ref="R1259:R1268" si="170">(M1259*P1259)</f>
        <v>1068.74</v>
      </c>
      <c r="W1259" s="744"/>
      <c r="AC1259" s="374"/>
      <c r="AD1259" s="748" t="s">
        <v>2055</v>
      </c>
      <c r="AE1259" s="283" t="str">
        <f t="shared" si="163"/>
        <v>|</v>
      </c>
      <c r="AG1259" s="374" t="s">
        <v>2259</v>
      </c>
    </row>
    <row r="1260" spans="6:33" ht="24" customHeight="1">
      <c r="F1260" s="283">
        <v>1.1000000000000001</v>
      </c>
      <c r="G1260" s="283" t="s">
        <v>769</v>
      </c>
      <c r="H1260" s="374" t="s">
        <v>320</v>
      </c>
      <c r="I1260" s="283">
        <f>(C13)</f>
        <v>534</v>
      </c>
      <c r="J1260" s="374" t="s">
        <v>769</v>
      </c>
      <c r="K1260" s="283">
        <f>(F1260*I1260)</f>
        <v>587.4</v>
      </c>
      <c r="M1260" s="283">
        <v>1.1000000000000001</v>
      </c>
      <c r="N1260" s="283" t="s">
        <v>769</v>
      </c>
      <c r="O1260" s="374" t="s">
        <v>2009</v>
      </c>
      <c r="P1260" s="283">
        <f t="shared" si="169"/>
        <v>999</v>
      </c>
      <c r="Q1260" s="744" t="s">
        <v>769</v>
      </c>
      <c r="R1260" s="283">
        <f t="shared" si="170"/>
        <v>1098.9000000000001</v>
      </c>
      <c r="W1260" s="744"/>
      <c r="Y1260" s="765">
        <v>29.4</v>
      </c>
      <c r="Z1260" s="283" t="s">
        <v>2251</v>
      </c>
      <c r="AA1260" s="374" t="s">
        <v>3503</v>
      </c>
      <c r="AE1260" s="283" t="str">
        <f t="shared" si="163"/>
        <v>|</v>
      </c>
      <c r="AG1260" s="374" t="s">
        <v>2259</v>
      </c>
    </row>
    <row r="1261" spans="6:33" ht="24" customHeight="1">
      <c r="G1261" s="283" t="s">
        <v>449</v>
      </c>
      <c r="H1261" s="374" t="s">
        <v>450</v>
      </c>
      <c r="J1261" s="374" t="s">
        <v>449</v>
      </c>
      <c r="K1261" s="283">
        <v>0</v>
      </c>
      <c r="M1261" s="283">
        <v>1.1000000000000001</v>
      </c>
      <c r="N1261" s="283" t="s">
        <v>769</v>
      </c>
      <c r="O1261" s="374" t="s">
        <v>1712</v>
      </c>
      <c r="P1261" s="283">
        <f t="shared" si="169"/>
        <v>932</v>
      </c>
      <c r="Q1261" s="744" t="s">
        <v>769</v>
      </c>
      <c r="R1261" s="283">
        <f t="shared" si="170"/>
        <v>1025.2</v>
      </c>
      <c r="W1261" s="744"/>
      <c r="AA1261" s="374" t="s">
        <v>3504</v>
      </c>
      <c r="AE1261" s="283" t="str">
        <f t="shared" si="163"/>
        <v>|</v>
      </c>
      <c r="AG1261" s="374" t="s">
        <v>2259</v>
      </c>
    </row>
    <row r="1262" spans="6:33" ht="24" customHeight="1">
      <c r="K1262" s="748" t="s">
        <v>1586</v>
      </c>
      <c r="M1262" s="283">
        <v>2.2000000000000002</v>
      </c>
      <c r="N1262" s="283" t="s">
        <v>769</v>
      </c>
      <c r="O1262" s="374" t="s">
        <v>1902</v>
      </c>
      <c r="P1262" s="283">
        <f t="shared" si="169"/>
        <v>651</v>
      </c>
      <c r="Q1262" s="744" t="s">
        <v>769</v>
      </c>
      <c r="R1262" s="283">
        <f t="shared" si="170"/>
        <v>1432.2</v>
      </c>
      <c r="W1262" s="744"/>
      <c r="AA1262" s="748" t="s">
        <v>1586</v>
      </c>
      <c r="AE1262" s="283" t="str">
        <f t="shared" si="163"/>
        <v>|</v>
      </c>
      <c r="AG1262" s="374" t="s">
        <v>2259</v>
      </c>
    </row>
    <row r="1263" spans="6:33" ht="24" customHeight="1">
      <c r="H1263" s="374" t="s">
        <v>441</v>
      </c>
      <c r="K1263" s="283">
        <f>SUM(K1249:K1261)</f>
        <v>12175.54</v>
      </c>
      <c r="M1263" s="283">
        <v>2.2000000000000002</v>
      </c>
      <c r="N1263" s="283" t="s">
        <v>769</v>
      </c>
      <c r="O1263" s="374" t="s">
        <v>320</v>
      </c>
      <c r="P1263" s="283">
        <f t="shared" si="169"/>
        <v>534</v>
      </c>
      <c r="Q1263" s="744" t="s">
        <v>769</v>
      </c>
      <c r="R1263" s="283">
        <f t="shared" si="170"/>
        <v>1174.8</v>
      </c>
      <c r="W1263" s="744"/>
      <c r="Y1263" s="283">
        <v>1.86</v>
      </c>
      <c r="Z1263" s="283" t="s">
        <v>609</v>
      </c>
      <c r="AA1263" s="374" t="s">
        <v>3505</v>
      </c>
      <c r="AB1263" s="283">
        <f>AB1242</f>
        <v>793</v>
      </c>
      <c r="AC1263" s="374" t="str">
        <f>J1270</f>
        <v>SQM</v>
      </c>
      <c r="AD1263" s="283">
        <f t="shared" ref="AD1263:AD1268" si="171">(Y1263*AB1263)</f>
        <v>1474.98</v>
      </c>
      <c r="AE1263" s="283" t="str">
        <f t="shared" si="163"/>
        <v>|</v>
      </c>
      <c r="AG1263" s="374" t="s">
        <v>2259</v>
      </c>
    </row>
    <row r="1264" spans="6:33" ht="24" customHeight="1">
      <c r="K1264" s="748" t="s">
        <v>1586</v>
      </c>
      <c r="M1264" s="746">
        <v>20</v>
      </c>
      <c r="N1264" s="283" t="s">
        <v>1645</v>
      </c>
      <c r="O1264" s="374" t="s">
        <v>862</v>
      </c>
      <c r="P1264" s="283">
        <f t="shared" si="169"/>
        <v>6040</v>
      </c>
      <c r="Q1264" s="744" t="s">
        <v>861</v>
      </c>
      <c r="R1264" s="283">
        <f>(M1264*P1264)/1000</f>
        <v>120.8</v>
      </c>
      <c r="W1264" s="744"/>
      <c r="Y1264" s="283">
        <v>0.4</v>
      </c>
      <c r="Z1264" s="283" t="s">
        <v>1645</v>
      </c>
      <c r="AA1264" s="374" t="s">
        <v>2081</v>
      </c>
      <c r="AB1264" s="283">
        <f>AB1250</f>
        <v>36.1</v>
      </c>
      <c r="AC1264" s="374" t="str">
        <f>J1271</f>
        <v>Kg</v>
      </c>
      <c r="AD1264" s="283">
        <f t="shared" si="171"/>
        <v>14.44</v>
      </c>
      <c r="AE1264" s="283">
        <f t="shared" si="163"/>
        <v>0</v>
      </c>
    </row>
    <row r="1265" spans="6:33" ht="24" customHeight="1">
      <c r="H1265" s="757" t="s">
        <v>552</v>
      </c>
      <c r="K1265" s="751">
        <f>(K1263/10)</f>
        <v>1217.55</v>
      </c>
      <c r="M1265" s="746">
        <v>2</v>
      </c>
      <c r="N1265" s="283" t="s">
        <v>1645</v>
      </c>
      <c r="O1265" s="374" t="s">
        <v>1528</v>
      </c>
      <c r="P1265" s="283">
        <f>I1257</f>
        <v>36.1</v>
      </c>
      <c r="Q1265" s="744" t="s">
        <v>1645</v>
      </c>
      <c r="R1265" s="283">
        <f t="shared" si="170"/>
        <v>72.2</v>
      </c>
      <c r="W1265" s="744"/>
      <c r="Y1265" s="283">
        <v>0.02</v>
      </c>
      <c r="Z1265" s="283" t="s">
        <v>869</v>
      </c>
      <c r="AA1265" s="374" t="s">
        <v>417</v>
      </c>
      <c r="AB1265" s="283">
        <f>I1272</f>
        <v>6538.86</v>
      </c>
      <c r="AC1265" s="374" t="str">
        <f>J1272</f>
        <v>CUM</v>
      </c>
      <c r="AD1265" s="283">
        <f t="shared" si="171"/>
        <v>130.78</v>
      </c>
      <c r="AE1265" s="283">
        <f t="shared" si="163"/>
        <v>0</v>
      </c>
    </row>
    <row r="1266" spans="6:33" ht="24" customHeight="1">
      <c r="K1266" s="748" t="s">
        <v>2055</v>
      </c>
      <c r="M1266" s="283">
        <v>1.6</v>
      </c>
      <c r="N1266" s="283" t="s">
        <v>769</v>
      </c>
      <c r="O1266" s="374" t="s">
        <v>1712</v>
      </c>
      <c r="P1266" s="283">
        <f>P1224</f>
        <v>932</v>
      </c>
      <c r="Q1266" s="744" t="s">
        <v>769</v>
      </c>
      <c r="R1266" s="283">
        <f t="shared" si="170"/>
        <v>1491.2</v>
      </c>
      <c r="W1266" s="744"/>
      <c r="Y1266" s="283">
        <v>1</v>
      </c>
      <c r="Z1266" s="283" t="s">
        <v>769</v>
      </c>
      <c r="AA1266" s="374" t="s">
        <v>2009</v>
      </c>
      <c r="AB1266" s="283">
        <f>I1273</f>
        <v>999</v>
      </c>
      <c r="AC1266" s="374" t="str">
        <f>J1273</f>
        <v>NO</v>
      </c>
      <c r="AD1266" s="283">
        <f t="shared" si="171"/>
        <v>999</v>
      </c>
      <c r="AE1266" s="283" t="str">
        <f t="shared" si="163"/>
        <v xml:space="preserve"> </v>
      </c>
      <c r="AG1266" s="374" t="s">
        <v>975</v>
      </c>
    </row>
    <row r="1267" spans="6:33" ht="24" customHeight="1">
      <c r="F1267" s="765">
        <v>29.4</v>
      </c>
      <c r="G1267" s="283" t="s">
        <v>2251</v>
      </c>
      <c r="H1267" s="374" t="s">
        <v>1091</v>
      </c>
      <c r="M1267" s="283">
        <v>0.5</v>
      </c>
      <c r="N1267" s="283" t="s">
        <v>769</v>
      </c>
      <c r="O1267" s="374" t="s">
        <v>1902</v>
      </c>
      <c r="P1267" s="283">
        <f>P1225</f>
        <v>651</v>
      </c>
      <c r="Q1267" s="744" t="s">
        <v>769</v>
      </c>
      <c r="R1267" s="283">
        <f t="shared" si="170"/>
        <v>325.5</v>
      </c>
      <c r="W1267" s="744"/>
      <c r="Y1267" s="283">
        <v>1</v>
      </c>
      <c r="Z1267" s="283" t="s">
        <v>769</v>
      </c>
      <c r="AA1267" s="374" t="s">
        <v>1688</v>
      </c>
      <c r="AB1267" s="283">
        <f>I1274</f>
        <v>651</v>
      </c>
      <c r="AC1267" s="374" t="str">
        <f>J1274</f>
        <v>NO</v>
      </c>
      <c r="AD1267" s="283">
        <f t="shared" si="171"/>
        <v>651</v>
      </c>
      <c r="AE1267" s="283">
        <f t="shared" si="163"/>
        <v>0</v>
      </c>
    </row>
    <row r="1268" spans="6:33" ht="24" customHeight="1">
      <c r="H1268" s="374" t="s">
        <v>1092</v>
      </c>
      <c r="M1268" s="283">
        <v>1.1000000000000001</v>
      </c>
      <c r="N1268" s="283" t="s">
        <v>769</v>
      </c>
      <c r="O1268" s="374" t="s">
        <v>320</v>
      </c>
      <c r="P1268" s="283">
        <f>P1226</f>
        <v>534</v>
      </c>
      <c r="Q1268" s="744" t="s">
        <v>769</v>
      </c>
      <c r="R1268" s="283">
        <f t="shared" si="170"/>
        <v>587.4</v>
      </c>
      <c r="W1268" s="744"/>
      <c r="Z1268" s="283" t="s">
        <v>449</v>
      </c>
      <c r="AA1268" s="374" t="s">
        <v>450</v>
      </c>
      <c r="AC1268" s="374" t="s">
        <v>449</v>
      </c>
      <c r="AD1268" s="283">
        <f t="shared" si="171"/>
        <v>0</v>
      </c>
      <c r="AE1268" s="283">
        <f t="shared" si="163"/>
        <v>0</v>
      </c>
    </row>
    <row r="1269" spans="6:33" ht="24" customHeight="1">
      <c r="H1269" s="748" t="s">
        <v>1586</v>
      </c>
      <c r="N1269" s="283" t="s">
        <v>449</v>
      </c>
      <c r="O1269" s="374" t="s">
        <v>450</v>
      </c>
      <c r="Q1269" s="744" t="s">
        <v>449</v>
      </c>
      <c r="R1269" s="283">
        <v>0</v>
      </c>
      <c r="W1269" s="744"/>
      <c r="AC1269" s="374"/>
      <c r="AD1269" s="748" t="s">
        <v>1586</v>
      </c>
      <c r="AE1269" s="283">
        <f t="shared" si="163"/>
        <v>0</v>
      </c>
    </row>
    <row r="1270" spans="6:33" ht="24" customHeight="1">
      <c r="F1270" s="283">
        <v>1.86</v>
      </c>
      <c r="G1270" s="283" t="s">
        <v>609</v>
      </c>
      <c r="H1270" s="374" t="s">
        <v>1093</v>
      </c>
      <c r="I1270" s="283">
        <f>C603</f>
        <v>415</v>
      </c>
      <c r="J1270" s="374" t="s">
        <v>609</v>
      </c>
      <c r="K1270" s="283">
        <f>(F1270*I1270)</f>
        <v>771.9</v>
      </c>
      <c r="M1270" s="283">
        <f>9.3/0.02</f>
        <v>465</v>
      </c>
      <c r="Q1270" s="744"/>
      <c r="R1270" s="748"/>
      <c r="W1270" s="744"/>
      <c r="AA1270" s="374" t="s">
        <v>1689</v>
      </c>
      <c r="AC1270" s="374"/>
      <c r="AD1270" s="283">
        <f>SUM(AD1263:AD1268)</f>
        <v>3270.2</v>
      </c>
      <c r="AE1270" s="283">
        <f t="shared" si="163"/>
        <v>0</v>
      </c>
    </row>
    <row r="1271" spans="6:33" ht="24" customHeight="1">
      <c r="F1271" s="283">
        <v>0.4</v>
      </c>
      <c r="G1271" s="283" t="s">
        <v>1645</v>
      </c>
      <c r="H1271" s="374" t="s">
        <v>2081</v>
      </c>
      <c r="I1271" s="283">
        <f>I1257</f>
        <v>36.1</v>
      </c>
      <c r="J1271" s="374" t="s">
        <v>1645</v>
      </c>
      <c r="K1271" s="283">
        <f>(F1271*I1271)</f>
        <v>14.44</v>
      </c>
      <c r="O1271" s="374" t="s">
        <v>441</v>
      </c>
      <c r="Q1271" s="744"/>
      <c r="R1271" s="283">
        <f>SUM(R1258:R1269)</f>
        <v>12609.94</v>
      </c>
      <c r="W1271" s="744"/>
      <c r="AC1271" s="374"/>
      <c r="AD1271" s="748" t="s">
        <v>1586</v>
      </c>
      <c r="AE1271" s="283">
        <f t="shared" si="163"/>
        <v>0</v>
      </c>
    </row>
    <row r="1272" spans="6:33" ht="24" customHeight="1">
      <c r="F1272" s="283">
        <v>0.02</v>
      </c>
      <c r="G1272" s="283" t="s">
        <v>869</v>
      </c>
      <c r="H1272" s="374" t="s">
        <v>417</v>
      </c>
      <c r="I1272" s="283">
        <f>K23</f>
        <v>6538.86</v>
      </c>
      <c r="J1272" s="374" t="s">
        <v>869</v>
      </c>
      <c r="K1272" s="283">
        <f>(F1272*I1272)</f>
        <v>130.78</v>
      </c>
      <c r="Q1272" s="744"/>
      <c r="R1272" s="748" t="s">
        <v>1586</v>
      </c>
      <c r="W1272" s="744"/>
      <c r="AA1272" s="757" t="s">
        <v>552</v>
      </c>
      <c r="AC1272" s="374"/>
      <c r="AD1272" s="751">
        <f>(AD1270/1.86)</f>
        <v>1758.17</v>
      </c>
      <c r="AE1272" s="283">
        <f t="shared" si="163"/>
        <v>0</v>
      </c>
    </row>
    <row r="1273" spans="6:33" ht="24" customHeight="1">
      <c r="F1273" s="283">
        <v>1</v>
      </c>
      <c r="G1273" s="283" t="s">
        <v>769</v>
      </c>
      <c r="H1273" s="374" t="s">
        <v>2009</v>
      </c>
      <c r="I1273" s="283">
        <f>C10</f>
        <v>999</v>
      </c>
      <c r="J1273" s="374" t="s">
        <v>769</v>
      </c>
      <c r="K1273" s="283">
        <f>(F1273*I1273)</f>
        <v>999</v>
      </c>
      <c r="O1273" s="745" t="s">
        <v>552</v>
      </c>
      <c r="Q1273" s="744"/>
      <c r="R1273" s="751">
        <f>(R1271/10)</f>
        <v>1260.99</v>
      </c>
      <c r="W1273" s="744"/>
      <c r="AC1273" s="374"/>
      <c r="AD1273" s="748" t="s">
        <v>2055</v>
      </c>
      <c r="AE1273" s="283">
        <f t="shared" si="163"/>
        <v>0</v>
      </c>
    </row>
    <row r="1274" spans="6:33" ht="24" customHeight="1">
      <c r="F1274" s="283">
        <v>1</v>
      </c>
      <c r="G1274" s="283" t="s">
        <v>769</v>
      </c>
      <c r="H1274" s="374" t="s">
        <v>1688</v>
      </c>
      <c r="I1274" s="283">
        <f>C12</f>
        <v>651</v>
      </c>
      <c r="J1274" s="374" t="s">
        <v>769</v>
      </c>
      <c r="K1274" s="283">
        <f>(F1274*I1274)</f>
        <v>651</v>
      </c>
      <c r="S1274" s="765">
        <v>29.5</v>
      </c>
      <c r="T1274" s="283" t="s">
        <v>2251</v>
      </c>
      <c r="U1274" s="374" t="s">
        <v>6103</v>
      </c>
      <c r="W1274" s="744"/>
      <c r="AE1274" s="283">
        <f t="shared" si="163"/>
        <v>0</v>
      </c>
    </row>
    <row r="1275" spans="6:33" ht="24" customHeight="1">
      <c r="G1275" s="283" t="s">
        <v>449</v>
      </c>
      <c r="H1275" s="374" t="s">
        <v>450</v>
      </c>
      <c r="J1275" s="374" t="s">
        <v>449</v>
      </c>
      <c r="S1275" s="283"/>
      <c r="U1275" s="374"/>
      <c r="W1275" s="744"/>
      <c r="AE1275" s="283">
        <f t="shared" si="163"/>
        <v>0</v>
      </c>
    </row>
    <row r="1276" spans="6:33" ht="24" customHeight="1">
      <c r="K1276" s="748" t="s">
        <v>1586</v>
      </c>
      <c r="S1276" s="283"/>
      <c r="U1276" s="374"/>
      <c r="W1276" s="744"/>
      <c r="AC1276" s="374"/>
      <c r="AE1276" s="283">
        <f t="shared" si="163"/>
        <v>0</v>
      </c>
    </row>
    <row r="1277" spans="6:33" ht="24" customHeight="1">
      <c r="H1277" s="374" t="s">
        <v>1689</v>
      </c>
      <c r="K1277" s="283">
        <f>SUM(K1270:K1275)</f>
        <v>2567.12</v>
      </c>
      <c r="S1277" s="283"/>
      <c r="U1277" s="748" t="s">
        <v>1586</v>
      </c>
      <c r="V1277" s="748" t="s">
        <v>1586</v>
      </c>
      <c r="W1277" s="744"/>
      <c r="AC1277" s="374"/>
      <c r="AE1277" s="283">
        <f t="shared" si="163"/>
        <v>0</v>
      </c>
    </row>
    <row r="1278" spans="6:33" ht="40.5" customHeight="1">
      <c r="K1278" s="748" t="s">
        <v>1586</v>
      </c>
      <c r="S1278" s="283">
        <v>10</v>
      </c>
      <c r="T1278" s="283" t="s">
        <v>609</v>
      </c>
      <c r="U1278" s="780" t="s">
        <v>3602</v>
      </c>
      <c r="V1278" s="283">
        <v>538.21</v>
      </c>
      <c r="W1278" s="744" t="s">
        <v>609</v>
      </c>
      <c r="X1278" s="283">
        <f>(S1278*V1278)</f>
        <v>5382.1</v>
      </c>
      <c r="AC1278" s="374"/>
      <c r="AE1278" s="283">
        <f t="shared" si="163"/>
        <v>0</v>
      </c>
    </row>
    <row r="1279" spans="6:33" ht="24" customHeight="1">
      <c r="H1279" s="757" t="s">
        <v>552</v>
      </c>
      <c r="K1279" s="751">
        <f>(K1277/1.86)</f>
        <v>1380.17</v>
      </c>
      <c r="S1279" s="283">
        <v>0.21</v>
      </c>
      <c r="T1279" s="283" t="s">
        <v>869</v>
      </c>
      <c r="U1279" s="374" t="s">
        <v>1876</v>
      </c>
      <c r="V1279" s="283">
        <f t="shared" ref="V1279:V1289" si="172">I1250</f>
        <v>5089.26</v>
      </c>
      <c r="W1279" s="744" t="s">
        <v>869</v>
      </c>
      <c r="X1279" s="283">
        <f>(S1279*V1279)</f>
        <v>1068.74</v>
      </c>
      <c r="AE1279" s="283">
        <f t="shared" ref="AE1279:AE1342" si="173">AG1279</f>
        <v>0</v>
      </c>
    </row>
    <row r="1280" spans="6:33" ht="24" customHeight="1">
      <c r="K1280" s="748" t="s">
        <v>2055</v>
      </c>
      <c r="S1280" s="283"/>
      <c r="U1280" s="374" t="s">
        <v>1877</v>
      </c>
      <c r="V1280" s="283" t="str">
        <f t="shared" si="172"/>
        <v xml:space="preserve"> </v>
      </c>
      <c r="W1280" s="744"/>
      <c r="X1280" s="374" t="s">
        <v>975</v>
      </c>
      <c r="AE1280" s="283">
        <f t="shared" si="173"/>
        <v>0</v>
      </c>
    </row>
    <row r="1281" spans="6:31" ht="24" customHeight="1">
      <c r="F1281" s="765"/>
      <c r="G1281" s="283" t="s">
        <v>2251</v>
      </c>
      <c r="H1281" s="374" t="s">
        <v>6104</v>
      </c>
      <c r="S1281" s="283">
        <v>1.1000000000000001</v>
      </c>
      <c r="T1281" s="283" t="s">
        <v>769</v>
      </c>
      <c r="U1281" s="374" t="s">
        <v>2009</v>
      </c>
      <c r="V1281" s="283">
        <f t="shared" si="172"/>
        <v>999</v>
      </c>
      <c r="W1281" s="744" t="s">
        <v>769</v>
      </c>
      <c r="X1281" s="283">
        <f>(S1281*V1281)</f>
        <v>1098.9000000000001</v>
      </c>
      <c r="AE1281" s="283">
        <f t="shared" si="173"/>
        <v>0</v>
      </c>
    </row>
    <row r="1282" spans="6:31" ht="24" customHeight="1">
      <c r="H1282" s="374"/>
      <c r="S1282" s="283">
        <v>1.1000000000000001</v>
      </c>
      <c r="T1282" s="283" t="s">
        <v>769</v>
      </c>
      <c r="U1282" s="374" t="s">
        <v>1712</v>
      </c>
      <c r="V1282" s="283">
        <f t="shared" si="172"/>
        <v>932</v>
      </c>
      <c r="W1282" s="744" t="s">
        <v>769</v>
      </c>
      <c r="X1282" s="283">
        <f>(S1282*V1282)</f>
        <v>1025.2</v>
      </c>
      <c r="AE1282" s="283">
        <f t="shared" si="173"/>
        <v>0</v>
      </c>
    </row>
    <row r="1283" spans="6:31" ht="24" customHeight="1">
      <c r="H1283" s="748" t="s">
        <v>1586</v>
      </c>
      <c r="S1283" s="283">
        <v>2.2000000000000002</v>
      </c>
      <c r="T1283" s="283" t="s">
        <v>769</v>
      </c>
      <c r="U1283" s="374" t="s">
        <v>1902</v>
      </c>
      <c r="V1283" s="283">
        <f t="shared" si="172"/>
        <v>651</v>
      </c>
      <c r="W1283" s="744" t="s">
        <v>769</v>
      </c>
      <c r="X1283" s="283">
        <f>(S1283*V1283)</f>
        <v>1432.2</v>
      </c>
      <c r="AE1283" s="283">
        <f t="shared" si="173"/>
        <v>0</v>
      </c>
    </row>
    <row r="1284" spans="6:31" ht="24" customHeight="1">
      <c r="F1284" s="283">
        <v>1.86</v>
      </c>
      <c r="G1284" s="283" t="s">
        <v>609</v>
      </c>
      <c r="H1284" s="374" t="s">
        <v>3603</v>
      </c>
      <c r="I1284" s="283">
        <v>699.4</v>
      </c>
      <c r="J1284" s="374" t="s">
        <v>609</v>
      </c>
      <c r="K1284" s="283">
        <f>(F1284*I1284)</f>
        <v>1300.8800000000001</v>
      </c>
      <c r="S1284" s="283">
        <v>2.2000000000000002</v>
      </c>
      <c r="T1284" s="283" t="s">
        <v>769</v>
      </c>
      <c r="U1284" s="374" t="s">
        <v>320</v>
      </c>
      <c r="V1284" s="283">
        <f t="shared" si="172"/>
        <v>534</v>
      </c>
      <c r="W1284" s="744" t="s">
        <v>769</v>
      </c>
      <c r="X1284" s="283">
        <f>(S1284*V1284)</f>
        <v>1174.8</v>
      </c>
      <c r="AE1284" s="283">
        <f t="shared" si="173"/>
        <v>0</v>
      </c>
    </row>
    <row r="1285" spans="6:31" ht="24" customHeight="1">
      <c r="F1285" s="283">
        <v>0.4</v>
      </c>
      <c r="G1285" s="283" t="s">
        <v>1645</v>
      </c>
      <c r="H1285" s="374" t="s">
        <v>390</v>
      </c>
      <c r="I1285" s="283">
        <f>C68</f>
        <v>6040</v>
      </c>
      <c r="J1285" s="374" t="s">
        <v>1645</v>
      </c>
      <c r="K1285" s="283">
        <f>(F1285*I1285)</f>
        <v>2416</v>
      </c>
      <c r="S1285" s="746">
        <v>20</v>
      </c>
      <c r="T1285" s="283" t="s">
        <v>1645</v>
      </c>
      <c r="U1285" s="374" t="s">
        <v>862</v>
      </c>
      <c r="V1285" s="283">
        <f t="shared" si="172"/>
        <v>6040</v>
      </c>
      <c r="W1285" s="744" t="s">
        <v>861</v>
      </c>
      <c r="X1285" s="283">
        <f>(S1285*V1285)/1000</f>
        <v>120.8</v>
      </c>
      <c r="AE1285" s="283">
        <f t="shared" si="173"/>
        <v>0</v>
      </c>
    </row>
    <row r="1286" spans="6:31" ht="24" customHeight="1">
      <c r="F1286" s="283">
        <v>0.02</v>
      </c>
      <c r="G1286" s="283" t="s">
        <v>869</v>
      </c>
      <c r="H1286" s="374" t="s">
        <v>417</v>
      </c>
      <c r="I1286" s="283">
        <f>I1272</f>
        <v>6538.86</v>
      </c>
      <c r="J1286" s="374" t="s">
        <v>869</v>
      </c>
      <c r="K1286" s="283">
        <f>(F1286*I1286)</f>
        <v>130.78</v>
      </c>
      <c r="S1286" s="746">
        <v>2</v>
      </c>
      <c r="T1286" s="283" t="s">
        <v>1645</v>
      </c>
      <c r="U1286" s="374" t="s">
        <v>2081</v>
      </c>
      <c r="V1286" s="283">
        <f t="shared" si="172"/>
        <v>36.1</v>
      </c>
      <c r="W1286" s="744" t="s">
        <v>1645</v>
      </c>
      <c r="X1286" s="283">
        <f>(S1286*V1286)</f>
        <v>72.2</v>
      </c>
      <c r="AE1286" s="283">
        <f t="shared" si="173"/>
        <v>0</v>
      </c>
    </row>
    <row r="1287" spans="6:31" ht="24" customHeight="1">
      <c r="F1287" s="283">
        <v>1</v>
      </c>
      <c r="G1287" s="283" t="s">
        <v>769</v>
      </c>
      <c r="H1287" s="374" t="s">
        <v>2009</v>
      </c>
      <c r="I1287" s="283">
        <f>I1273</f>
        <v>999</v>
      </c>
      <c r="J1287" s="374" t="s">
        <v>769</v>
      </c>
      <c r="K1287" s="283">
        <f>(F1287*I1287)</f>
        <v>999</v>
      </c>
      <c r="S1287" s="283">
        <v>1.6</v>
      </c>
      <c r="T1287" s="283" t="s">
        <v>769</v>
      </c>
      <c r="U1287" s="374" t="s">
        <v>1712</v>
      </c>
      <c r="V1287" s="283">
        <f t="shared" si="172"/>
        <v>932</v>
      </c>
      <c r="W1287" s="744" t="s">
        <v>769</v>
      </c>
      <c r="X1287" s="283">
        <f>(S1287*V1287)</f>
        <v>1491.2</v>
      </c>
      <c r="AE1287" s="283">
        <f t="shared" si="173"/>
        <v>0</v>
      </c>
    </row>
    <row r="1288" spans="6:31" ht="24" customHeight="1">
      <c r="F1288" s="283">
        <v>1</v>
      </c>
      <c r="G1288" s="283" t="s">
        <v>769</v>
      </c>
      <c r="H1288" s="374" t="s">
        <v>1688</v>
      </c>
      <c r="I1288" s="283">
        <f>I1274</f>
        <v>651</v>
      </c>
      <c r="J1288" s="374" t="s">
        <v>769</v>
      </c>
      <c r="K1288" s="283">
        <f>(F1288*I1288)</f>
        <v>651</v>
      </c>
      <c r="S1288" s="283">
        <v>0.5</v>
      </c>
      <c r="T1288" s="283" t="s">
        <v>769</v>
      </c>
      <c r="U1288" s="374" t="s">
        <v>1902</v>
      </c>
      <c r="V1288" s="283">
        <f t="shared" si="172"/>
        <v>651</v>
      </c>
      <c r="W1288" s="744" t="s">
        <v>769</v>
      </c>
      <c r="X1288" s="283">
        <f>(S1288*V1288)</f>
        <v>325.5</v>
      </c>
      <c r="AE1288" s="283">
        <f t="shared" si="173"/>
        <v>0</v>
      </c>
    </row>
    <row r="1289" spans="6:31" ht="24" customHeight="1">
      <c r="G1289" s="283" t="s">
        <v>449</v>
      </c>
      <c r="H1289" s="374" t="s">
        <v>450</v>
      </c>
      <c r="J1289" s="374" t="s">
        <v>449</v>
      </c>
      <c r="S1289" s="283">
        <v>1.1000000000000001</v>
      </c>
      <c r="T1289" s="283" t="s">
        <v>769</v>
      </c>
      <c r="U1289" s="374" t="s">
        <v>320</v>
      </c>
      <c r="V1289" s="283">
        <f t="shared" si="172"/>
        <v>534</v>
      </c>
      <c r="W1289" s="744" t="s">
        <v>769</v>
      </c>
      <c r="X1289" s="283">
        <f>(S1289*V1289)</f>
        <v>587.4</v>
      </c>
      <c r="AE1289" s="283">
        <f t="shared" si="173"/>
        <v>0</v>
      </c>
    </row>
    <row r="1290" spans="6:31" ht="24" customHeight="1">
      <c r="K1290" s="748" t="s">
        <v>1586</v>
      </c>
      <c r="S1290" s="283"/>
      <c r="T1290" s="283" t="s">
        <v>449</v>
      </c>
      <c r="U1290" s="374" t="s">
        <v>450</v>
      </c>
      <c r="W1290" s="744" t="s">
        <v>449</v>
      </c>
      <c r="X1290" s="283">
        <v>0</v>
      </c>
      <c r="AE1290" s="283">
        <f t="shared" si="173"/>
        <v>0</v>
      </c>
    </row>
    <row r="1291" spans="6:31" ht="24" customHeight="1">
      <c r="H1291" s="374" t="s">
        <v>1689</v>
      </c>
      <c r="K1291" s="283">
        <f>SUM(K1284:K1289)</f>
        <v>5497.66</v>
      </c>
      <c r="S1291" s="283"/>
      <c r="W1291" s="744"/>
      <c r="X1291" s="748" t="s">
        <v>1586</v>
      </c>
      <c r="AE1291" s="283">
        <f t="shared" si="173"/>
        <v>0</v>
      </c>
    </row>
    <row r="1292" spans="6:31" ht="24" customHeight="1">
      <c r="K1292" s="748" t="s">
        <v>1586</v>
      </c>
      <c r="S1292" s="283"/>
      <c r="U1292" s="374" t="s">
        <v>441</v>
      </c>
      <c r="W1292" s="744"/>
      <c r="X1292" s="283">
        <f>SUM(X1278:X1290)</f>
        <v>13779.04</v>
      </c>
      <c r="AE1292" s="283">
        <f t="shared" si="173"/>
        <v>0</v>
      </c>
    </row>
    <row r="1293" spans="6:31" ht="24" customHeight="1">
      <c r="H1293" s="757" t="s">
        <v>552</v>
      </c>
      <c r="K1293" s="751">
        <f>(K1291/1.86)</f>
        <v>2955.73</v>
      </c>
      <c r="S1293" s="283"/>
      <c r="W1293" s="744"/>
      <c r="X1293" s="748" t="s">
        <v>1586</v>
      </c>
      <c r="AE1293" s="283">
        <f t="shared" si="173"/>
        <v>0</v>
      </c>
    </row>
    <row r="1294" spans="6:31" ht="24" customHeight="1">
      <c r="K1294" s="748" t="s">
        <v>2055</v>
      </c>
      <c r="U1294" s="757" t="s">
        <v>552</v>
      </c>
      <c r="W1294" s="744"/>
      <c r="X1294" s="751">
        <f>(X1292/10)</f>
        <v>1377.9</v>
      </c>
      <c r="AE1294" s="283">
        <f t="shared" si="173"/>
        <v>0</v>
      </c>
    </row>
    <row r="1295" spans="6:31" ht="24" customHeight="1">
      <c r="K1295" s="748"/>
      <c r="W1295" s="744"/>
      <c r="X1295" s="748" t="s">
        <v>2055</v>
      </c>
      <c r="AE1295" s="283">
        <f t="shared" si="173"/>
        <v>0</v>
      </c>
    </row>
    <row r="1296" spans="6:31" ht="24" customHeight="1">
      <c r="K1296" s="748"/>
      <c r="W1296" s="744"/>
      <c r="AE1296" s="283">
        <f t="shared" si="173"/>
        <v>0</v>
      </c>
    </row>
    <row r="1297" spans="6:31" ht="24" customHeight="1">
      <c r="K1297" s="748"/>
      <c r="M1297" s="744"/>
      <c r="N1297" s="283" t="s">
        <v>2251</v>
      </c>
      <c r="O1297" s="374" t="s">
        <v>6105</v>
      </c>
      <c r="Q1297" s="744"/>
      <c r="S1297" s="765">
        <v>15.1</v>
      </c>
      <c r="T1297" s="283" t="s">
        <v>1757</v>
      </c>
      <c r="U1297" s="374" t="s">
        <v>6106</v>
      </c>
      <c r="W1297" s="744"/>
      <c r="AE1297" s="283">
        <f t="shared" si="173"/>
        <v>0</v>
      </c>
    </row>
    <row r="1298" spans="6:31" ht="24" customHeight="1">
      <c r="K1298" s="748"/>
      <c r="O1298" s="374" t="s">
        <v>1524</v>
      </c>
      <c r="Q1298" s="744"/>
      <c r="S1298" s="283"/>
      <c r="U1298" s="374" t="s">
        <v>2281</v>
      </c>
      <c r="W1298" s="744"/>
      <c r="AE1298" s="283">
        <f t="shared" si="173"/>
        <v>0</v>
      </c>
    </row>
    <row r="1299" spans="6:31" ht="24" customHeight="1">
      <c r="F1299" s="744" t="s">
        <v>207</v>
      </c>
      <c r="G1299" s="283" t="s">
        <v>2251</v>
      </c>
      <c r="H1299" s="374" t="s">
        <v>1922</v>
      </c>
      <c r="O1299" s="745" t="s">
        <v>6107</v>
      </c>
      <c r="Q1299" s="744"/>
      <c r="S1299" s="283">
        <v>10</v>
      </c>
      <c r="T1299" s="283" t="s">
        <v>2283</v>
      </c>
      <c r="U1299" s="374" t="s">
        <v>6108</v>
      </c>
      <c r="V1299" s="283">
        <v>1626</v>
      </c>
      <c r="W1299" s="744" t="s">
        <v>2283</v>
      </c>
      <c r="X1299" s="283">
        <f t="shared" ref="X1299:X1305" si="174">(S1299*V1299)</f>
        <v>16260</v>
      </c>
      <c r="AE1299" s="283">
        <f t="shared" si="173"/>
        <v>0</v>
      </c>
    </row>
    <row r="1300" spans="6:31" ht="24" customHeight="1">
      <c r="H1300" s="374" t="s">
        <v>2233</v>
      </c>
      <c r="O1300" s="748" t="s">
        <v>1586</v>
      </c>
      <c r="Q1300" s="744"/>
      <c r="S1300" s="283">
        <v>0.21</v>
      </c>
      <c r="T1300" s="283" t="s">
        <v>869</v>
      </c>
      <c r="U1300" s="374" t="s">
        <v>784</v>
      </c>
      <c r="V1300" s="784">
        <f>P1334</f>
        <v>5089.26</v>
      </c>
      <c r="W1300" s="744" t="s">
        <v>869</v>
      </c>
      <c r="X1300" s="283">
        <f t="shared" si="174"/>
        <v>1068.74</v>
      </c>
      <c r="AE1300" s="283">
        <f t="shared" si="173"/>
        <v>0</v>
      </c>
    </row>
    <row r="1301" spans="6:31" ht="24" customHeight="1">
      <c r="H1301" s="374" t="s">
        <v>1690</v>
      </c>
      <c r="M1301" s="283">
        <v>3.2</v>
      </c>
      <c r="N1301" s="283" t="s">
        <v>1645</v>
      </c>
      <c r="O1301" s="374" t="s">
        <v>1198</v>
      </c>
      <c r="P1301" s="283">
        <v>225</v>
      </c>
      <c r="Q1301" s="744" t="s">
        <v>1645</v>
      </c>
      <c r="R1301" s="283">
        <f>(M1301*P1301)</f>
        <v>720</v>
      </c>
      <c r="S1301" s="283">
        <v>1.1000000000000001</v>
      </c>
      <c r="T1301" s="283" t="s">
        <v>560</v>
      </c>
      <c r="U1301" s="374" t="s">
        <v>561</v>
      </c>
      <c r="V1301" s="784">
        <f>P1335</f>
        <v>999</v>
      </c>
      <c r="W1301" s="744" t="s">
        <v>1398</v>
      </c>
      <c r="X1301" s="283">
        <f t="shared" si="174"/>
        <v>1098.9000000000001</v>
      </c>
      <c r="AE1301" s="283">
        <f t="shared" si="173"/>
        <v>0</v>
      </c>
    </row>
    <row r="1302" spans="6:31" ht="24" customHeight="1">
      <c r="H1302" s="374" t="s">
        <v>6109</v>
      </c>
      <c r="M1302" s="283">
        <v>0.98</v>
      </c>
      <c r="N1302" s="283" t="s">
        <v>1238</v>
      </c>
      <c r="O1302" s="374" t="s">
        <v>3879</v>
      </c>
      <c r="P1302" s="283">
        <f>'Print Data (2)'!D466</f>
        <v>147.5</v>
      </c>
      <c r="Q1302" s="744" t="s">
        <v>1238</v>
      </c>
      <c r="R1302" s="283">
        <f t="shared" ref="R1302:R1307" si="175">(M1302*P1302)</f>
        <v>144.55000000000001</v>
      </c>
      <c r="S1302" s="283">
        <v>1.1000000000000001</v>
      </c>
      <c r="T1302" s="283" t="s">
        <v>560</v>
      </c>
      <c r="U1302" s="374" t="s">
        <v>3611</v>
      </c>
      <c r="V1302" s="784">
        <f>P1261</f>
        <v>932</v>
      </c>
      <c r="W1302" s="744" t="s">
        <v>1398</v>
      </c>
      <c r="X1302" s="283">
        <f t="shared" si="174"/>
        <v>1025.2</v>
      </c>
      <c r="AE1302" s="283">
        <f t="shared" si="173"/>
        <v>0</v>
      </c>
    </row>
    <row r="1303" spans="6:31" ht="24" customHeight="1">
      <c r="H1303" s="748" t="s">
        <v>1586</v>
      </c>
      <c r="M1303" s="283">
        <v>0.5</v>
      </c>
      <c r="N1303" s="283" t="s">
        <v>769</v>
      </c>
      <c r="O1303" s="374" t="s">
        <v>1179</v>
      </c>
      <c r="P1303" s="283">
        <f>AE13</f>
        <v>797</v>
      </c>
      <c r="Q1303" s="283" t="s">
        <v>769</v>
      </c>
      <c r="R1303" s="283">
        <f t="shared" si="175"/>
        <v>398.5</v>
      </c>
      <c r="S1303" s="283">
        <v>2.2000000000000002</v>
      </c>
      <c r="T1303" s="283" t="s">
        <v>560</v>
      </c>
      <c r="U1303" s="374" t="s">
        <v>823</v>
      </c>
      <c r="V1303" s="784">
        <f>P1336</f>
        <v>651</v>
      </c>
      <c r="W1303" s="744" t="s">
        <v>1398</v>
      </c>
      <c r="X1303" s="283">
        <f t="shared" si="174"/>
        <v>1432.2</v>
      </c>
      <c r="AE1303" s="283">
        <f t="shared" si="173"/>
        <v>0</v>
      </c>
    </row>
    <row r="1304" spans="6:31" ht="24" customHeight="1">
      <c r="F1304" s="283">
        <v>0.24</v>
      </c>
      <c r="G1304" s="283" t="s">
        <v>869</v>
      </c>
      <c r="H1304" s="374" t="s">
        <v>1691</v>
      </c>
      <c r="I1304" s="283">
        <f>(C71)</f>
        <v>866.87</v>
      </c>
      <c r="J1304" s="374" t="s">
        <v>869</v>
      </c>
      <c r="K1304" s="283">
        <f>(F1304*I1304)</f>
        <v>208.05</v>
      </c>
      <c r="M1304" s="283">
        <v>0.7</v>
      </c>
      <c r="N1304" s="283" t="s">
        <v>769</v>
      </c>
      <c r="O1304" s="374" t="s">
        <v>1199</v>
      </c>
      <c r="P1304" s="283">
        <f>AE14</f>
        <v>772</v>
      </c>
      <c r="Q1304" s="283" t="s">
        <v>769</v>
      </c>
      <c r="R1304" s="283">
        <f t="shared" si="175"/>
        <v>540.4</v>
      </c>
      <c r="S1304" s="283">
        <v>2.2000000000000002</v>
      </c>
      <c r="T1304" s="283" t="s">
        <v>560</v>
      </c>
      <c r="U1304" s="374" t="s">
        <v>3609</v>
      </c>
      <c r="V1304" s="784">
        <f>P1306</f>
        <v>534</v>
      </c>
      <c r="W1304" s="744" t="s">
        <v>1398</v>
      </c>
      <c r="X1304" s="283">
        <f t="shared" si="174"/>
        <v>1174.8</v>
      </c>
      <c r="AE1304" s="283">
        <f t="shared" si="173"/>
        <v>0</v>
      </c>
    </row>
    <row r="1305" spans="6:31" ht="24" customHeight="1">
      <c r="F1305" s="746">
        <v>0.11700000000000001</v>
      </c>
      <c r="G1305" s="283" t="s">
        <v>861</v>
      </c>
      <c r="H1305" s="374" t="s">
        <v>862</v>
      </c>
      <c r="I1305" s="283">
        <f>(C68)</f>
        <v>6040</v>
      </c>
      <c r="J1305" s="374" t="s">
        <v>861</v>
      </c>
      <c r="K1305" s="283">
        <f>(F1305*I1305)</f>
        <v>706.68</v>
      </c>
      <c r="M1305" s="283">
        <v>0.5</v>
      </c>
      <c r="N1305" s="283" t="s">
        <v>769</v>
      </c>
      <c r="O1305" s="374" t="s">
        <v>1902</v>
      </c>
      <c r="P1305" s="283">
        <f>I1307</f>
        <v>651</v>
      </c>
      <c r="Q1305" s="283" t="s">
        <v>769</v>
      </c>
      <c r="R1305" s="283">
        <f t="shared" si="175"/>
        <v>325.5</v>
      </c>
      <c r="S1305" s="283">
        <v>10</v>
      </c>
      <c r="T1305" s="283" t="s">
        <v>449</v>
      </c>
      <c r="U1305" s="374" t="s">
        <v>3610</v>
      </c>
      <c r="V1305" s="784">
        <v>153.47</v>
      </c>
      <c r="W1305" s="744" t="s">
        <v>449</v>
      </c>
      <c r="X1305" s="283">
        <f t="shared" si="174"/>
        <v>1534.7</v>
      </c>
      <c r="AE1305" s="283">
        <f t="shared" si="173"/>
        <v>0</v>
      </c>
    </row>
    <row r="1306" spans="6:31" ht="24" customHeight="1">
      <c r="F1306" s="283">
        <v>0.5</v>
      </c>
      <c r="G1306" s="283" t="s">
        <v>769</v>
      </c>
      <c r="H1306" s="374" t="s">
        <v>2009</v>
      </c>
      <c r="I1306" s="283">
        <f>(C10)</f>
        <v>999</v>
      </c>
      <c r="J1306" s="374" t="s">
        <v>769</v>
      </c>
      <c r="K1306" s="283">
        <f>(F1306*I1306)</f>
        <v>499.5</v>
      </c>
      <c r="M1306" s="283">
        <v>0.8</v>
      </c>
      <c r="N1306" s="283" t="s">
        <v>769</v>
      </c>
      <c r="O1306" s="374" t="s">
        <v>320</v>
      </c>
      <c r="P1306" s="283">
        <f>I1308</f>
        <v>534</v>
      </c>
      <c r="Q1306" s="283" t="s">
        <v>769</v>
      </c>
      <c r="R1306" s="283">
        <f t="shared" si="175"/>
        <v>427.2</v>
      </c>
      <c r="S1306" s="283"/>
      <c r="U1306" s="374"/>
      <c r="V1306" s="784">
        <f>P1338</f>
        <v>0</v>
      </c>
      <c r="W1306" s="744"/>
      <c r="X1306" s="748" t="s">
        <v>1586</v>
      </c>
      <c r="AE1306" s="283">
        <f t="shared" si="173"/>
        <v>0</v>
      </c>
    </row>
    <row r="1307" spans="6:31" ht="24" customHeight="1">
      <c r="F1307" s="283">
        <v>1.1000000000000001</v>
      </c>
      <c r="G1307" s="283" t="s">
        <v>769</v>
      </c>
      <c r="H1307" s="374" t="s">
        <v>934</v>
      </c>
      <c r="I1307" s="283">
        <f>(C12)</f>
        <v>651</v>
      </c>
      <c r="J1307" s="374" t="s">
        <v>769</v>
      </c>
      <c r="K1307" s="283">
        <f>(F1307*I1307)</f>
        <v>716.1</v>
      </c>
      <c r="M1307" s="283">
        <v>10</v>
      </c>
      <c r="N1307" s="283" t="s">
        <v>2283</v>
      </c>
      <c r="O1307" s="374" t="s">
        <v>3867</v>
      </c>
      <c r="P1307" s="283">
        <f>C461</f>
        <v>0</v>
      </c>
      <c r="Q1307" s="283" t="s">
        <v>2283</v>
      </c>
      <c r="R1307" s="283">
        <f t="shared" si="175"/>
        <v>0</v>
      </c>
      <c r="S1307" s="283"/>
      <c r="U1307" s="744" t="s">
        <v>407</v>
      </c>
      <c r="V1307" s="784"/>
      <c r="W1307" s="744"/>
      <c r="X1307" s="283">
        <f>SUM(X1299:X1305)</f>
        <v>23594.54</v>
      </c>
      <c r="AE1307" s="283">
        <f t="shared" si="173"/>
        <v>0</v>
      </c>
    </row>
    <row r="1308" spans="6:31" ht="24" customHeight="1">
      <c r="F1308" s="283">
        <v>4.3</v>
      </c>
      <c r="G1308" s="283" t="s">
        <v>769</v>
      </c>
      <c r="H1308" s="374" t="s">
        <v>320</v>
      </c>
      <c r="I1308" s="283">
        <f>(C13)</f>
        <v>534</v>
      </c>
      <c r="J1308" s="374" t="s">
        <v>769</v>
      </c>
      <c r="K1308" s="283">
        <f>(F1308*I1308)</f>
        <v>2296.1999999999998</v>
      </c>
      <c r="N1308" s="283" t="s">
        <v>449</v>
      </c>
      <c r="O1308" s="374" t="s">
        <v>1181</v>
      </c>
      <c r="P1308" s="374" t="s">
        <v>975</v>
      </c>
      <c r="Q1308" s="744" t="s">
        <v>449</v>
      </c>
      <c r="R1308" s="283">
        <v>0</v>
      </c>
      <c r="S1308" s="283"/>
      <c r="W1308" s="744"/>
      <c r="X1308" s="748" t="s">
        <v>1586</v>
      </c>
      <c r="AE1308" s="283">
        <f t="shared" si="173"/>
        <v>0</v>
      </c>
    </row>
    <row r="1309" spans="6:31" ht="24" customHeight="1">
      <c r="G1309" s="283" t="s">
        <v>449</v>
      </c>
      <c r="H1309" s="374" t="s">
        <v>450</v>
      </c>
      <c r="J1309" s="374" t="s">
        <v>449</v>
      </c>
      <c r="K1309" s="283">
        <v>0</v>
      </c>
      <c r="Q1309" s="744"/>
      <c r="R1309" s="748" t="s">
        <v>1586</v>
      </c>
      <c r="S1309" s="283"/>
      <c r="U1309" s="744" t="s">
        <v>411</v>
      </c>
      <c r="W1309" s="744"/>
      <c r="X1309" s="751">
        <f>X1307/10</f>
        <v>2359.4499999999998</v>
      </c>
      <c r="AE1309" s="283">
        <f t="shared" si="173"/>
        <v>0</v>
      </c>
    </row>
    <row r="1310" spans="6:31" ht="24" customHeight="1">
      <c r="K1310" s="748" t="s">
        <v>1586</v>
      </c>
      <c r="O1310" s="374" t="s">
        <v>441</v>
      </c>
      <c r="Q1310" s="744"/>
      <c r="R1310" s="283">
        <f>SUM(R1301:R1308)</f>
        <v>2556.15</v>
      </c>
      <c r="S1310" s="283"/>
      <c r="U1310" s="374" t="s">
        <v>386</v>
      </c>
      <c r="W1310" s="744">
        <f>X1314+Y1309</f>
        <v>2361.67</v>
      </c>
      <c r="X1310" s="283">
        <f>X1309+Y1307</f>
        <v>2359.4499999999998</v>
      </c>
      <c r="AE1310" s="283">
        <f t="shared" si="173"/>
        <v>0</v>
      </c>
    </row>
    <row r="1311" spans="6:31" ht="24" customHeight="1">
      <c r="H1311" s="374" t="s">
        <v>441</v>
      </c>
      <c r="K1311" s="283">
        <f>SUM(K1304:K1309)</f>
        <v>4426.53</v>
      </c>
      <c r="Q1311" s="744"/>
      <c r="R1311" s="748" t="s">
        <v>1586</v>
      </c>
      <c r="S1311" s="283"/>
      <c r="U1311" s="374" t="s">
        <v>388</v>
      </c>
      <c r="W1311" s="744">
        <f>W1310+Y1309</f>
        <v>2361.67</v>
      </c>
      <c r="X1311" s="283">
        <f>X1310+1.11</f>
        <v>2360.56</v>
      </c>
      <c r="AE1311" s="283">
        <f t="shared" si="173"/>
        <v>0</v>
      </c>
    </row>
    <row r="1312" spans="6:31" ht="24" customHeight="1">
      <c r="K1312" s="748" t="s">
        <v>1586</v>
      </c>
      <c r="O1312" s="745" t="s">
        <v>552</v>
      </c>
      <c r="Q1312" s="744"/>
      <c r="R1312" s="751">
        <f>(R1310/10)</f>
        <v>255.62</v>
      </c>
      <c r="S1312" s="283"/>
      <c r="U1312" s="374" t="s">
        <v>2232</v>
      </c>
      <c r="W1312" s="744"/>
      <c r="X1312" s="283">
        <f>X1311+1.11</f>
        <v>2361.67</v>
      </c>
      <c r="AE1312" s="283">
        <f t="shared" si="173"/>
        <v>0</v>
      </c>
    </row>
    <row r="1313" spans="6:31" ht="24" customHeight="1">
      <c r="H1313" s="757" t="s">
        <v>552</v>
      </c>
      <c r="K1313" s="751">
        <f>(K1311/10)</f>
        <v>442.65</v>
      </c>
      <c r="M1313" s="374" t="s">
        <v>975</v>
      </c>
      <c r="Q1313" s="744"/>
      <c r="S1313" s="283"/>
      <c r="U1313" s="374" t="s">
        <v>380</v>
      </c>
      <c r="W1313" s="744"/>
      <c r="X1313" s="283">
        <f>X1312+Y1309</f>
        <v>2361.67</v>
      </c>
      <c r="AE1313" s="283">
        <f t="shared" si="173"/>
        <v>0</v>
      </c>
    </row>
    <row r="1314" spans="6:31" ht="24" customHeight="1">
      <c r="F1314" s="374" t="s">
        <v>975</v>
      </c>
      <c r="Q1314" s="744"/>
      <c r="R1314" s="748" t="s">
        <v>2055</v>
      </c>
      <c r="S1314" s="283"/>
      <c r="U1314" s="374" t="s">
        <v>1364</v>
      </c>
      <c r="W1314" s="744"/>
      <c r="X1314" s="283">
        <f>X1313+Y1309</f>
        <v>2361.67</v>
      </c>
      <c r="AE1314" s="283">
        <f t="shared" si="173"/>
        <v>0</v>
      </c>
    </row>
    <row r="1315" spans="6:31" ht="24" customHeight="1">
      <c r="K1315" s="748" t="s">
        <v>2055</v>
      </c>
      <c r="Q1315" s="744"/>
      <c r="S1315" s="283"/>
      <c r="W1315" s="744"/>
      <c r="AE1315" s="283">
        <f t="shared" si="173"/>
        <v>0</v>
      </c>
    </row>
    <row r="1316" spans="6:31" ht="24" customHeight="1">
      <c r="W1316" s="744"/>
      <c r="AE1316" s="283">
        <f t="shared" si="173"/>
        <v>0</v>
      </c>
    </row>
    <row r="1317" spans="6:31" ht="24" customHeight="1">
      <c r="S1317" s="765">
        <v>15.1</v>
      </c>
      <c r="T1317" s="283" t="s">
        <v>1757</v>
      </c>
      <c r="U1317" s="374" t="s">
        <v>6112</v>
      </c>
      <c r="W1317" s="744"/>
      <c r="AE1317" s="283">
        <f t="shared" si="173"/>
        <v>0</v>
      </c>
    </row>
    <row r="1318" spans="6:31" ht="24" customHeight="1">
      <c r="S1318" s="283"/>
      <c r="U1318" s="374" t="s">
        <v>2281</v>
      </c>
      <c r="W1318" s="744"/>
      <c r="AE1318" s="283">
        <f t="shared" si="173"/>
        <v>0</v>
      </c>
    </row>
    <row r="1319" spans="6:31" ht="24" customHeight="1">
      <c r="S1319" s="283">
        <v>10</v>
      </c>
      <c r="T1319" s="283" t="s">
        <v>2283</v>
      </c>
      <c r="U1319" s="374" t="s">
        <v>6113</v>
      </c>
      <c r="V1319" s="283">
        <f>AB1189</f>
        <v>1737</v>
      </c>
      <c r="W1319" s="744" t="s">
        <v>2283</v>
      </c>
      <c r="X1319" s="283">
        <f>(S1319*V1319)</f>
        <v>17370</v>
      </c>
      <c r="AE1319" s="283">
        <f t="shared" si="173"/>
        <v>0</v>
      </c>
    </row>
    <row r="1320" spans="6:31" ht="24" customHeight="1">
      <c r="S1320" s="283">
        <v>0.21</v>
      </c>
      <c r="T1320" s="283" t="s">
        <v>869</v>
      </c>
      <c r="U1320" s="374" t="s">
        <v>784</v>
      </c>
      <c r="V1320" s="784">
        <f>V1300</f>
        <v>5089.26</v>
      </c>
      <c r="W1320" s="744" t="s">
        <v>869</v>
      </c>
      <c r="X1320" s="283">
        <f t="shared" ref="X1320:X1325" si="176">(S1320*V1320)</f>
        <v>1068.74</v>
      </c>
      <c r="AE1320" s="283">
        <f t="shared" si="173"/>
        <v>0</v>
      </c>
    </row>
    <row r="1321" spans="6:31" ht="24" customHeight="1">
      <c r="S1321" s="283">
        <v>1.1000000000000001</v>
      </c>
      <c r="T1321" s="283" t="s">
        <v>560</v>
      </c>
      <c r="U1321" s="374" t="s">
        <v>561</v>
      </c>
      <c r="V1321" s="283">
        <f t="shared" ref="V1321:V1326" si="177">V1301</f>
        <v>999</v>
      </c>
      <c r="W1321" s="744" t="s">
        <v>1398</v>
      </c>
      <c r="X1321" s="283">
        <f t="shared" si="176"/>
        <v>1098.9000000000001</v>
      </c>
      <c r="AE1321" s="283">
        <f t="shared" si="173"/>
        <v>0</v>
      </c>
    </row>
    <row r="1322" spans="6:31" ht="24" customHeight="1">
      <c r="S1322" s="283">
        <v>1.1000000000000001</v>
      </c>
      <c r="T1322" s="283" t="s">
        <v>560</v>
      </c>
      <c r="U1322" s="374" t="s">
        <v>3611</v>
      </c>
      <c r="V1322" s="283">
        <f t="shared" si="177"/>
        <v>932</v>
      </c>
      <c r="W1322" s="744" t="s">
        <v>1398</v>
      </c>
      <c r="X1322" s="283">
        <f t="shared" si="176"/>
        <v>1025.2</v>
      </c>
      <c r="AE1322" s="283">
        <f t="shared" si="173"/>
        <v>0</v>
      </c>
    </row>
    <row r="1323" spans="6:31" ht="24" customHeight="1">
      <c r="S1323" s="283">
        <v>2.2000000000000002</v>
      </c>
      <c r="T1323" s="283" t="s">
        <v>560</v>
      </c>
      <c r="U1323" s="374" t="s">
        <v>823</v>
      </c>
      <c r="V1323" s="283">
        <f t="shared" si="177"/>
        <v>651</v>
      </c>
      <c r="W1323" s="744" t="s">
        <v>1398</v>
      </c>
      <c r="X1323" s="283">
        <f t="shared" si="176"/>
        <v>1432.2</v>
      </c>
      <c r="AE1323" s="283">
        <f t="shared" si="173"/>
        <v>0</v>
      </c>
    </row>
    <row r="1324" spans="6:31" ht="24" customHeight="1">
      <c r="S1324" s="283">
        <v>2.2000000000000002</v>
      </c>
      <c r="T1324" s="283" t="s">
        <v>560</v>
      </c>
      <c r="U1324" s="374" t="s">
        <v>3609</v>
      </c>
      <c r="V1324" s="283">
        <f t="shared" si="177"/>
        <v>534</v>
      </c>
      <c r="W1324" s="744" t="s">
        <v>1398</v>
      </c>
      <c r="X1324" s="283">
        <f t="shared" si="176"/>
        <v>1174.8</v>
      </c>
      <c r="AE1324" s="283">
        <f t="shared" si="173"/>
        <v>0</v>
      </c>
    </row>
    <row r="1325" spans="6:31" ht="24" customHeight="1">
      <c r="S1325" s="283">
        <v>10</v>
      </c>
      <c r="T1325" s="283" t="s">
        <v>449</v>
      </c>
      <c r="U1325" s="374" t="s">
        <v>3610</v>
      </c>
      <c r="V1325" s="283">
        <f t="shared" si="177"/>
        <v>153.47</v>
      </c>
      <c r="W1325" s="744" t="s">
        <v>449</v>
      </c>
      <c r="X1325" s="283">
        <f t="shared" si="176"/>
        <v>1534.7</v>
      </c>
      <c r="AE1325" s="283">
        <f t="shared" si="173"/>
        <v>0</v>
      </c>
    </row>
    <row r="1326" spans="6:31" ht="24" customHeight="1">
      <c r="S1326" s="283"/>
      <c r="U1326" s="374"/>
      <c r="V1326" s="283">
        <f t="shared" si="177"/>
        <v>0</v>
      </c>
      <c r="W1326" s="744"/>
      <c r="X1326" s="748" t="s">
        <v>1586</v>
      </c>
      <c r="AE1326" s="283">
        <f t="shared" si="173"/>
        <v>0</v>
      </c>
    </row>
    <row r="1327" spans="6:31" ht="24" customHeight="1">
      <c r="S1327" s="283">
        <f>'Print Data (2)'!F472-157</f>
        <v>74.430000000000007</v>
      </c>
      <c r="U1327" s="744" t="s">
        <v>407</v>
      </c>
      <c r="W1327" s="744"/>
      <c r="X1327" s="283">
        <f>SUM(X1319:X1325)</f>
        <v>24704.54</v>
      </c>
      <c r="AE1327" s="283">
        <f t="shared" si="173"/>
        <v>0</v>
      </c>
    </row>
    <row r="1328" spans="6:31" ht="24" customHeight="1">
      <c r="S1328" s="283"/>
      <c r="W1328" s="744"/>
      <c r="X1328" s="748" t="s">
        <v>1586</v>
      </c>
      <c r="AE1328" s="283">
        <f t="shared" si="173"/>
        <v>0</v>
      </c>
    </row>
    <row r="1329" spans="6:31" ht="24" customHeight="1">
      <c r="S1329" s="283"/>
      <c r="U1329" s="744" t="s">
        <v>411</v>
      </c>
      <c r="W1329" s="744"/>
      <c r="X1329" s="751">
        <f>X1327/10</f>
        <v>2470.4499999999998</v>
      </c>
      <c r="AE1329" s="283">
        <f t="shared" si="173"/>
        <v>0</v>
      </c>
    </row>
    <row r="1330" spans="6:31" ht="24" customHeight="1">
      <c r="Q1330" s="744"/>
      <c r="W1330" s="744"/>
      <c r="AE1330" s="283">
        <f t="shared" si="173"/>
        <v>0</v>
      </c>
    </row>
    <row r="1331" spans="6:31" ht="24" customHeight="1">
      <c r="M1331" s="765">
        <v>15.1</v>
      </c>
      <c r="N1331" s="283" t="s">
        <v>1757</v>
      </c>
      <c r="O1331" s="374" t="s">
        <v>6112</v>
      </c>
      <c r="Q1331" s="744"/>
      <c r="T1331" s="745" t="s">
        <v>3839</v>
      </c>
      <c r="W1331" s="744"/>
      <c r="AE1331" s="283">
        <f t="shared" si="173"/>
        <v>0</v>
      </c>
    </row>
    <row r="1332" spans="6:31" ht="24" customHeight="1">
      <c r="O1332" s="374" t="s">
        <v>2281</v>
      </c>
      <c r="Q1332" s="744"/>
      <c r="S1332" s="283">
        <v>10</v>
      </c>
      <c r="T1332" s="283" t="s">
        <v>609</v>
      </c>
      <c r="U1332" s="374" t="s">
        <v>5316</v>
      </c>
      <c r="V1332" s="283">
        <v>506</v>
      </c>
      <c r="W1332" s="744" t="s">
        <v>609</v>
      </c>
      <c r="X1332" s="283">
        <f>(S1332*V1332)</f>
        <v>5060</v>
      </c>
      <c r="Z1332" s="283">
        <v>9</v>
      </c>
      <c r="AA1332" s="283" t="s">
        <v>3651</v>
      </c>
      <c r="AB1332" s="283">
        <f>AC44</f>
        <v>944.7</v>
      </c>
      <c r="AC1332" s="283">
        <f>AB1332*Z1332</f>
        <v>8502.2999999999993</v>
      </c>
      <c r="AE1332" s="283">
        <f t="shared" si="173"/>
        <v>0</v>
      </c>
    </row>
    <row r="1333" spans="6:31" ht="38.25" customHeight="1">
      <c r="M1333" s="283">
        <v>10</v>
      </c>
      <c r="N1333" s="283" t="s">
        <v>2283</v>
      </c>
      <c r="O1333" s="374" t="s">
        <v>6516</v>
      </c>
      <c r="P1333" s="283">
        <v>1626</v>
      </c>
      <c r="Q1333" s="744" t="s">
        <v>2283</v>
      </c>
      <c r="R1333" s="283">
        <f>(M1333*P1333)</f>
        <v>16260</v>
      </c>
      <c r="S1333" s="283">
        <v>0.21</v>
      </c>
      <c r="T1333" s="283" t="s">
        <v>869</v>
      </c>
      <c r="U1333" s="374" t="s">
        <v>1876</v>
      </c>
      <c r="V1333" s="283">
        <f>P1334</f>
        <v>5089.26</v>
      </c>
      <c r="W1333" s="744" t="s">
        <v>869</v>
      </c>
      <c r="X1333" s="283">
        <f>(S1333*V1333)</f>
        <v>1068.74</v>
      </c>
      <c r="Z1333" s="283">
        <v>4.5</v>
      </c>
      <c r="AA1333" s="374" t="s">
        <v>417</v>
      </c>
      <c r="AB1333" s="283">
        <f>K23</f>
        <v>6538.86</v>
      </c>
      <c r="AC1333" s="283">
        <f>AB1333*Z1333</f>
        <v>29424.87</v>
      </c>
      <c r="AE1333" s="283">
        <f t="shared" si="173"/>
        <v>0</v>
      </c>
    </row>
    <row r="1334" spans="6:31" ht="24" customHeight="1">
      <c r="G1334" s="283" t="s">
        <v>675</v>
      </c>
      <c r="H1334" s="374" t="s">
        <v>752</v>
      </c>
      <c r="M1334" s="283">
        <v>0.12</v>
      </c>
      <c r="N1334" s="283" t="s">
        <v>869</v>
      </c>
      <c r="O1334" s="374" t="s">
        <v>784</v>
      </c>
      <c r="P1334" s="283">
        <f>K32</f>
        <v>5089.26</v>
      </c>
      <c r="Q1334" s="744" t="s">
        <v>869</v>
      </c>
      <c r="R1334" s="283">
        <f>(M1334*P1334)</f>
        <v>610.71</v>
      </c>
      <c r="S1334" s="283">
        <v>10</v>
      </c>
      <c r="U1334" s="374" t="s">
        <v>3840</v>
      </c>
      <c r="V1334" s="784">
        <f>K1345</f>
        <v>316.69</v>
      </c>
      <c r="W1334" s="744"/>
      <c r="X1334" s="283">
        <f>(S1334*V1334)</f>
        <v>3166.9</v>
      </c>
      <c r="Z1334" s="283">
        <v>1.8</v>
      </c>
      <c r="AA1334" s="374" t="s">
        <v>1712</v>
      </c>
      <c r="AB1334" s="283">
        <f>V1336</f>
        <v>932</v>
      </c>
      <c r="AC1334" s="283">
        <f>AB1334*Z1334</f>
        <v>1677.6</v>
      </c>
      <c r="AE1334" s="283">
        <f t="shared" si="173"/>
        <v>0</v>
      </c>
    </row>
    <row r="1335" spans="6:31" ht="31.5" customHeight="1">
      <c r="H1335" s="374" t="s">
        <v>753</v>
      </c>
      <c r="M1335" s="283">
        <v>1</v>
      </c>
      <c r="N1335" s="283" t="s">
        <v>560</v>
      </c>
      <c r="O1335" s="374" t="s">
        <v>561</v>
      </c>
      <c r="P1335" s="283">
        <f>I1306</f>
        <v>999</v>
      </c>
      <c r="Q1335" s="744" t="s">
        <v>1398</v>
      </c>
      <c r="R1335" s="283">
        <f>(M1335*P1335)</f>
        <v>999</v>
      </c>
      <c r="S1335" s="283">
        <v>1.1000000000000001</v>
      </c>
      <c r="T1335" s="782" t="s">
        <v>769</v>
      </c>
      <c r="U1335" s="374" t="s">
        <v>2009</v>
      </c>
      <c r="V1335" s="283">
        <f>AE9</f>
        <v>999</v>
      </c>
      <c r="W1335" s="744" t="s">
        <v>769</v>
      </c>
      <c r="X1335" s="283">
        <f t="shared" ref="X1335:X1342" si="178">S1335*V1335</f>
        <v>1098.9000000000001</v>
      </c>
      <c r="Z1335" s="283">
        <v>17.7</v>
      </c>
      <c r="AA1335" s="374" t="s">
        <v>1902</v>
      </c>
      <c r="AB1335" s="283">
        <f>V1337</f>
        <v>651</v>
      </c>
      <c r="AC1335" s="283">
        <f>AB1335*Z1335</f>
        <v>11522.7</v>
      </c>
      <c r="AE1335" s="283">
        <f t="shared" si="173"/>
        <v>0</v>
      </c>
    </row>
    <row r="1336" spans="6:31" ht="38.25" customHeight="1">
      <c r="H1336" s="748" t="s">
        <v>1586</v>
      </c>
      <c r="L1336" s="283">
        <f>SUM(K1356:K1361)</f>
        <v>8308.36</v>
      </c>
      <c r="M1336" s="283">
        <v>1</v>
      </c>
      <c r="N1336" s="283" t="s">
        <v>560</v>
      </c>
      <c r="O1336" s="374" t="s">
        <v>823</v>
      </c>
      <c r="P1336" s="283">
        <f>I1307</f>
        <v>651</v>
      </c>
      <c r="Q1336" s="744" t="s">
        <v>1398</v>
      </c>
      <c r="R1336" s="283">
        <f>(M1336*P1336)</f>
        <v>651</v>
      </c>
      <c r="S1336" s="283">
        <v>2.1</v>
      </c>
      <c r="T1336" s="782" t="s">
        <v>769</v>
      </c>
      <c r="U1336" s="374" t="s">
        <v>1712</v>
      </c>
      <c r="V1336" s="283">
        <f>AE10</f>
        <v>932</v>
      </c>
      <c r="W1336" s="744" t="s">
        <v>769</v>
      </c>
      <c r="X1336" s="283">
        <f t="shared" si="178"/>
        <v>1957.2</v>
      </c>
      <c r="Z1336" s="283">
        <v>14.1</v>
      </c>
      <c r="AA1336" s="374" t="s">
        <v>320</v>
      </c>
      <c r="AB1336" s="283">
        <f>V1338</f>
        <v>534</v>
      </c>
      <c r="AC1336" s="283">
        <f>AB1336*Z1336</f>
        <v>7529.4</v>
      </c>
      <c r="AE1336" s="283">
        <f t="shared" si="173"/>
        <v>0</v>
      </c>
    </row>
    <row r="1337" spans="6:31" ht="24" customHeight="1">
      <c r="F1337" s="283">
        <v>0.04</v>
      </c>
      <c r="G1337" s="283" t="s">
        <v>869</v>
      </c>
      <c r="H1337" s="374" t="s">
        <v>754</v>
      </c>
      <c r="I1337" s="283">
        <f>(K32)</f>
        <v>5089.26</v>
      </c>
      <c r="J1337" s="374" t="s">
        <v>869</v>
      </c>
      <c r="K1337" s="283">
        <f>(F1337*I1337)</f>
        <v>203.57</v>
      </c>
      <c r="N1337" s="283" t="s">
        <v>449</v>
      </c>
      <c r="O1337" s="374" t="s">
        <v>59</v>
      </c>
      <c r="Q1337" s="744" t="s">
        <v>449</v>
      </c>
      <c r="R1337" s="283">
        <v>0.33</v>
      </c>
      <c r="S1337" s="283">
        <v>2.2000000000000002</v>
      </c>
      <c r="T1337" s="782" t="s">
        <v>769</v>
      </c>
      <c r="U1337" s="374" t="s">
        <v>1902</v>
      </c>
      <c r="V1337" s="283">
        <f>AE11</f>
        <v>651</v>
      </c>
      <c r="W1337" s="744" t="s">
        <v>769</v>
      </c>
      <c r="X1337" s="283">
        <f t="shared" si="178"/>
        <v>1432.2</v>
      </c>
      <c r="AC1337" s="283">
        <f>SUM(AC1332:AC1336)</f>
        <v>58656.87</v>
      </c>
      <c r="AE1337" s="283">
        <f t="shared" si="173"/>
        <v>0</v>
      </c>
    </row>
    <row r="1338" spans="6:31" ht="24" customHeight="1">
      <c r="F1338" s="283">
        <v>2.2000000000000002</v>
      </c>
      <c r="G1338" s="283" t="s">
        <v>769</v>
      </c>
      <c r="H1338" s="374" t="s">
        <v>1712</v>
      </c>
      <c r="I1338" s="283">
        <f>(C11)</f>
        <v>932</v>
      </c>
      <c r="J1338" s="374" t="s">
        <v>769</v>
      </c>
      <c r="K1338" s="283">
        <f>(F1338*I1338)</f>
        <v>2050.4</v>
      </c>
      <c r="L1338" s="283">
        <f>SUM(K1356:K1361)</f>
        <v>8308.36</v>
      </c>
      <c r="O1338" s="374" t="s">
        <v>931</v>
      </c>
      <c r="Q1338" s="744"/>
      <c r="R1338" s="748" t="s">
        <v>1586</v>
      </c>
      <c r="S1338" s="283">
        <v>1.1000000000000001</v>
      </c>
      <c r="T1338" s="782" t="s">
        <v>769</v>
      </c>
      <c r="U1338" s="374" t="s">
        <v>320</v>
      </c>
      <c r="V1338" s="283">
        <f>AE12</f>
        <v>534</v>
      </c>
      <c r="W1338" s="744" t="s">
        <v>769</v>
      </c>
      <c r="X1338" s="283">
        <f t="shared" si="178"/>
        <v>587.4</v>
      </c>
      <c r="AC1338" s="283">
        <f>AC1337/10</f>
        <v>5865.69</v>
      </c>
      <c r="AE1338" s="283">
        <f t="shared" si="173"/>
        <v>0</v>
      </c>
    </row>
    <row r="1339" spans="6:31" ht="24" customHeight="1">
      <c r="F1339" s="283">
        <v>0.5</v>
      </c>
      <c r="G1339" s="283" t="s">
        <v>769</v>
      </c>
      <c r="H1339" s="374" t="s">
        <v>1902</v>
      </c>
      <c r="I1339" s="283">
        <f>(C12)</f>
        <v>651</v>
      </c>
      <c r="J1339" s="374" t="s">
        <v>769</v>
      </c>
      <c r="K1339" s="283">
        <f>(F1339*I1339)</f>
        <v>325.5</v>
      </c>
      <c r="O1339" s="744" t="s">
        <v>407</v>
      </c>
      <c r="Q1339" s="744"/>
      <c r="R1339" s="283">
        <f>SUM(R1333:R1337)</f>
        <v>18521.04</v>
      </c>
      <c r="S1339" s="746">
        <v>6.5</v>
      </c>
      <c r="T1339" s="782" t="s">
        <v>1645</v>
      </c>
      <c r="U1339" s="374" t="s">
        <v>3652</v>
      </c>
      <c r="V1339" s="283">
        <v>17.18</v>
      </c>
      <c r="W1339" s="744" t="s">
        <v>861</v>
      </c>
      <c r="X1339" s="283">
        <f t="shared" si="178"/>
        <v>111.67</v>
      </c>
      <c r="AE1339" s="283">
        <f t="shared" si="173"/>
        <v>0</v>
      </c>
    </row>
    <row r="1340" spans="6:31" ht="24" customHeight="1">
      <c r="F1340" s="283">
        <v>1.1000000000000001</v>
      </c>
      <c r="G1340" s="283" t="s">
        <v>769</v>
      </c>
      <c r="H1340" s="374" t="s">
        <v>320</v>
      </c>
      <c r="I1340" s="283">
        <f>(C13)</f>
        <v>534</v>
      </c>
      <c r="J1340" s="374" t="s">
        <v>769</v>
      </c>
      <c r="K1340" s="283">
        <f>(F1340*I1340)</f>
        <v>587.4</v>
      </c>
      <c r="Q1340" s="744"/>
      <c r="R1340" s="748" t="s">
        <v>1586</v>
      </c>
      <c r="S1340" s="746">
        <v>3</v>
      </c>
      <c r="T1340" s="782" t="s">
        <v>1645</v>
      </c>
      <c r="U1340" s="374" t="s">
        <v>3732</v>
      </c>
      <c r="V1340" s="283">
        <f>C611</f>
        <v>27.25</v>
      </c>
      <c r="W1340" s="744" t="s">
        <v>1645</v>
      </c>
      <c r="X1340" s="283">
        <f t="shared" si="178"/>
        <v>81.75</v>
      </c>
      <c r="AE1340" s="283">
        <f t="shared" si="173"/>
        <v>0</v>
      </c>
    </row>
    <row r="1341" spans="6:31" ht="24" customHeight="1">
      <c r="G1341" s="283" t="s">
        <v>449</v>
      </c>
      <c r="H1341" s="374" t="s">
        <v>450</v>
      </c>
      <c r="J1341" s="374" t="s">
        <v>449</v>
      </c>
      <c r="K1341" s="283">
        <v>0</v>
      </c>
      <c r="O1341" s="744" t="s">
        <v>411</v>
      </c>
      <c r="Q1341" s="744"/>
      <c r="R1341" s="751">
        <f>R1339/10</f>
        <v>1852.1</v>
      </c>
      <c r="S1341" s="283">
        <v>2.15</v>
      </c>
      <c r="T1341" s="782" t="s">
        <v>769</v>
      </c>
      <c r="U1341" s="374" t="s">
        <v>3653</v>
      </c>
      <c r="V1341" s="283">
        <v>45.8</v>
      </c>
      <c r="W1341" s="744" t="s">
        <v>769</v>
      </c>
      <c r="X1341" s="283">
        <f t="shared" si="178"/>
        <v>98.47</v>
      </c>
      <c r="AE1341" s="283">
        <f t="shared" si="173"/>
        <v>0</v>
      </c>
    </row>
    <row r="1342" spans="6:31" ht="24" customHeight="1">
      <c r="K1342" s="748" t="s">
        <v>1586</v>
      </c>
      <c r="O1342" s="374" t="s">
        <v>386</v>
      </c>
      <c r="Q1342" s="744">
        <f>R1346+S1303</f>
        <v>1861.13</v>
      </c>
      <c r="R1342" s="283">
        <f>R1341+S1300</f>
        <v>1852.31</v>
      </c>
      <c r="S1342" s="283">
        <v>0.4</v>
      </c>
      <c r="T1342" s="782" t="s">
        <v>769</v>
      </c>
      <c r="U1342" s="374" t="s">
        <v>3741</v>
      </c>
      <c r="V1342" s="283">
        <f>AC1338</f>
        <v>5865.69</v>
      </c>
      <c r="W1342" s="744" t="s">
        <v>769</v>
      </c>
      <c r="X1342" s="283">
        <f t="shared" si="178"/>
        <v>2346.2800000000002</v>
      </c>
      <c r="AE1342" s="283">
        <f t="shared" si="173"/>
        <v>0</v>
      </c>
    </row>
    <row r="1343" spans="6:31" ht="24" customHeight="1">
      <c r="H1343" s="374" t="s">
        <v>441</v>
      </c>
      <c r="K1343" s="283">
        <f>SUM(K1337:K1341)</f>
        <v>3166.87</v>
      </c>
      <c r="O1343" s="374" t="s">
        <v>388</v>
      </c>
      <c r="Q1343" s="744">
        <f>Q1342+S1303</f>
        <v>1863.33</v>
      </c>
      <c r="R1343" s="283">
        <f>R1342+1.11</f>
        <v>1853.42</v>
      </c>
      <c r="S1343" s="283"/>
      <c r="T1343" s="782"/>
      <c r="U1343" s="374"/>
      <c r="W1343" s="744" t="s">
        <v>769</v>
      </c>
      <c r="X1343" s="283">
        <f>(S1343*V1343)</f>
        <v>0</v>
      </c>
      <c r="AE1343" s="283">
        <f t="shared" ref="AE1343:AE1406" si="179">AG1343</f>
        <v>0</v>
      </c>
    </row>
    <row r="1344" spans="6:31" ht="24" customHeight="1">
      <c r="K1344" s="748" t="s">
        <v>1586</v>
      </c>
      <c r="O1344" s="374" t="s">
        <v>2232</v>
      </c>
      <c r="Q1344" s="744"/>
      <c r="R1344" s="283">
        <f>R1343+1.11</f>
        <v>1854.53</v>
      </c>
      <c r="S1344" s="283"/>
      <c r="T1344" s="782" t="s">
        <v>449</v>
      </c>
      <c r="U1344" s="374" t="s">
        <v>450</v>
      </c>
      <c r="W1344" s="744" t="s">
        <v>449</v>
      </c>
      <c r="X1344" s="283">
        <v>0.8</v>
      </c>
      <c r="AE1344" s="283">
        <f t="shared" si="179"/>
        <v>0</v>
      </c>
    </row>
    <row r="1345" spans="6:31" ht="24" customHeight="1">
      <c r="H1345" s="757" t="s">
        <v>552</v>
      </c>
      <c r="K1345" s="751">
        <f>(K1343/10)</f>
        <v>316.69</v>
      </c>
      <c r="O1345" s="374" t="s">
        <v>380</v>
      </c>
      <c r="Q1345" s="744"/>
      <c r="R1345" s="283">
        <f>R1344+S1303</f>
        <v>1856.73</v>
      </c>
      <c r="S1345" s="283"/>
      <c r="T1345" s="782"/>
      <c r="W1345" s="744"/>
      <c r="X1345" s="748" t="s">
        <v>1586</v>
      </c>
      <c r="AE1345" s="283">
        <f t="shared" si="179"/>
        <v>0</v>
      </c>
    </row>
    <row r="1346" spans="6:31" ht="24" customHeight="1">
      <c r="K1346" s="748" t="s">
        <v>2055</v>
      </c>
      <c r="O1346" s="374" t="s">
        <v>1364</v>
      </c>
      <c r="Q1346" s="744"/>
      <c r="R1346" s="283">
        <f>R1345+S1303</f>
        <v>1858.93</v>
      </c>
      <c r="S1346" s="283"/>
      <c r="T1346" s="782"/>
      <c r="U1346" s="374" t="s">
        <v>441</v>
      </c>
      <c r="W1346" s="744"/>
      <c r="X1346" s="283">
        <f>SUM(X1332:X1345)</f>
        <v>17010.310000000001</v>
      </c>
      <c r="AE1346" s="283">
        <f t="shared" si="179"/>
        <v>0</v>
      </c>
    </row>
    <row r="1347" spans="6:31" ht="24" customHeight="1">
      <c r="Q1347" s="744"/>
      <c r="S1347" s="283"/>
      <c r="T1347" s="782"/>
      <c r="W1347" s="744"/>
      <c r="X1347" s="748" t="s">
        <v>1586</v>
      </c>
      <c r="AE1347" s="283">
        <f t="shared" si="179"/>
        <v>0</v>
      </c>
    </row>
    <row r="1348" spans="6:31" ht="24" customHeight="1">
      <c r="F1348" s="765">
        <v>32.1</v>
      </c>
      <c r="G1348" s="283" t="s">
        <v>2251</v>
      </c>
      <c r="H1348" s="374" t="s">
        <v>755</v>
      </c>
      <c r="Q1348" s="374"/>
      <c r="S1348" s="283"/>
      <c r="T1348" s="782"/>
      <c r="U1348" s="374" t="s">
        <v>552</v>
      </c>
      <c r="W1348" s="744"/>
      <c r="X1348" s="751">
        <f>(X1346/10)</f>
        <v>1701.03</v>
      </c>
      <c r="Y1348" s="283">
        <f>0.8-0.77</f>
        <v>0.03</v>
      </c>
      <c r="AE1348" s="283">
        <f t="shared" si="179"/>
        <v>0</v>
      </c>
    </row>
    <row r="1349" spans="6:31" ht="24" customHeight="1">
      <c r="H1349" s="374" t="s">
        <v>1483</v>
      </c>
      <c r="Q1349" s="374"/>
      <c r="S1349" s="283"/>
      <c r="T1349" s="782"/>
      <c r="W1349" s="744"/>
      <c r="X1349" s="748" t="s">
        <v>2055</v>
      </c>
      <c r="AE1349" s="283">
        <f t="shared" si="179"/>
        <v>0</v>
      </c>
    </row>
    <row r="1350" spans="6:31" ht="24" customHeight="1">
      <c r="H1350" s="374" t="s">
        <v>683</v>
      </c>
      <c r="Q1350" s="374"/>
      <c r="W1350" s="744"/>
      <c r="AE1350" s="283">
        <f t="shared" si="179"/>
        <v>0</v>
      </c>
    </row>
    <row r="1351" spans="6:31" ht="24" customHeight="1">
      <c r="H1351" s="374" t="s">
        <v>1967</v>
      </c>
      <c r="Q1351" s="374"/>
      <c r="W1351" s="744"/>
      <c r="Y1351" s="783">
        <v>3.02</v>
      </c>
      <c r="Z1351" s="283" t="s">
        <v>913</v>
      </c>
      <c r="AA1351" s="374" t="s">
        <v>1854</v>
      </c>
      <c r="AB1351" s="283">
        <f t="shared" ref="AB1351:AB1362" si="180">V1353</f>
        <v>325</v>
      </c>
      <c r="AC1351" s="283" t="s">
        <v>913</v>
      </c>
      <c r="AD1351" s="283">
        <f t="shared" ref="AD1351:AD1362" si="181">AB1351*Y1351</f>
        <v>981.5</v>
      </c>
      <c r="AE1351" s="283">
        <f t="shared" si="179"/>
        <v>0</v>
      </c>
    </row>
    <row r="1352" spans="6:31" ht="24" customHeight="1">
      <c r="H1352" s="374" t="s">
        <v>1293</v>
      </c>
      <c r="O1352" s="283" t="s">
        <v>1201</v>
      </c>
      <c r="Q1352" s="744"/>
      <c r="U1352" s="753" t="s">
        <v>3480</v>
      </c>
      <c r="W1352" s="744"/>
      <c r="Y1352" s="783">
        <v>2.19</v>
      </c>
      <c r="Z1352" s="283" t="s">
        <v>913</v>
      </c>
      <c r="AA1352" s="374" t="s">
        <v>1854</v>
      </c>
      <c r="AB1352" s="283">
        <f t="shared" si="180"/>
        <v>325</v>
      </c>
      <c r="AC1352" s="283" t="s">
        <v>913</v>
      </c>
      <c r="AD1352" s="283">
        <f t="shared" si="181"/>
        <v>711.75</v>
      </c>
      <c r="AE1352" s="283">
        <f t="shared" si="179"/>
        <v>0</v>
      </c>
    </row>
    <row r="1353" spans="6:31" ht="24" customHeight="1">
      <c r="H1353" s="748" t="s">
        <v>1586</v>
      </c>
      <c r="Q1353" s="744"/>
      <c r="S1353" s="746">
        <v>3.72</v>
      </c>
      <c r="T1353" s="283" t="s">
        <v>913</v>
      </c>
      <c r="U1353" s="374" t="s">
        <v>1854</v>
      </c>
      <c r="V1353" s="283">
        <f>P1392</f>
        <v>325</v>
      </c>
      <c r="W1353" s="744" t="s">
        <v>913</v>
      </c>
      <c r="X1353" s="283">
        <f>V1353*S1353</f>
        <v>1209</v>
      </c>
      <c r="Y1353" s="783">
        <v>4.96</v>
      </c>
      <c r="Z1353" s="283" t="s">
        <v>913</v>
      </c>
      <c r="AA1353" s="374" t="s">
        <v>1854</v>
      </c>
      <c r="AB1353" s="283">
        <f t="shared" si="180"/>
        <v>325</v>
      </c>
      <c r="AC1353" s="283" t="s">
        <v>913</v>
      </c>
      <c r="AD1353" s="283">
        <f t="shared" si="181"/>
        <v>1612</v>
      </c>
      <c r="AE1353" s="283">
        <f t="shared" si="179"/>
        <v>0</v>
      </c>
    </row>
    <row r="1354" spans="6:31" ht="24" customHeight="1">
      <c r="F1354" s="283">
        <v>190</v>
      </c>
      <c r="G1354" s="283" t="s">
        <v>1873</v>
      </c>
      <c r="H1354" s="374" t="s">
        <v>3882</v>
      </c>
      <c r="I1354" s="283">
        <f>(C84)</f>
        <v>16106</v>
      </c>
      <c r="J1354" s="374" t="s">
        <v>1481</v>
      </c>
      <c r="K1354" s="283">
        <f>(F1354*I1354)/1000</f>
        <v>3060.14</v>
      </c>
      <c r="M1354" s="283">
        <v>70</v>
      </c>
      <c r="N1354" s="283" t="s">
        <v>826</v>
      </c>
      <c r="O1354" s="283" t="s">
        <v>5317</v>
      </c>
      <c r="P1354" s="283">
        <v>33</v>
      </c>
      <c r="Q1354" s="744" t="s">
        <v>826</v>
      </c>
      <c r="R1354" s="283">
        <f>P1354*M1354</f>
        <v>2310</v>
      </c>
      <c r="S1354" s="746">
        <v>3.87</v>
      </c>
      <c r="T1354" s="283" t="s">
        <v>913</v>
      </c>
      <c r="U1354" s="374" t="s">
        <v>1854</v>
      </c>
      <c r="V1354" s="283">
        <f t="shared" ref="V1354:V1364" si="182">P1393</f>
        <v>325</v>
      </c>
      <c r="W1354" s="744" t="s">
        <v>913</v>
      </c>
      <c r="X1354" s="283">
        <f t="shared" ref="X1354:X1364" si="183">V1354*S1354</f>
        <v>1257.75</v>
      </c>
      <c r="Y1354" s="783">
        <v>0.85</v>
      </c>
      <c r="Z1354" s="283" t="s">
        <v>913</v>
      </c>
      <c r="AA1354" s="374" t="s">
        <v>1854</v>
      </c>
      <c r="AB1354" s="283">
        <f t="shared" si="180"/>
        <v>325</v>
      </c>
      <c r="AC1354" s="283" t="s">
        <v>913</v>
      </c>
      <c r="AD1354" s="283">
        <f t="shared" si="181"/>
        <v>276.25</v>
      </c>
      <c r="AE1354" s="283">
        <f t="shared" si="179"/>
        <v>0</v>
      </c>
    </row>
    <row r="1355" spans="6:31" ht="24" customHeight="1">
      <c r="F1355" s="283">
        <v>0.12</v>
      </c>
      <c r="G1355" s="283" t="s">
        <v>869</v>
      </c>
      <c r="H1355" s="374" t="s">
        <v>1876</v>
      </c>
      <c r="I1355" s="283">
        <f>(K32)</f>
        <v>5089.26</v>
      </c>
      <c r="J1355" s="374" t="s">
        <v>869</v>
      </c>
      <c r="K1355" s="283">
        <f t="shared" ref="K1355:K1361" si="184">(F1355*I1355)</f>
        <v>610.71</v>
      </c>
      <c r="Q1355" s="744"/>
      <c r="S1355" s="746">
        <v>7.46</v>
      </c>
      <c r="T1355" s="283" t="s">
        <v>913</v>
      </c>
      <c r="U1355" s="374" t="s">
        <v>1854</v>
      </c>
      <c r="V1355" s="283">
        <f t="shared" si="182"/>
        <v>325</v>
      </c>
      <c r="W1355" s="744" t="s">
        <v>913</v>
      </c>
      <c r="X1355" s="283">
        <f t="shared" si="183"/>
        <v>2424.5</v>
      </c>
      <c r="Y1355" s="783">
        <v>0.73199999999999998</v>
      </c>
      <c r="Z1355" s="283" t="s">
        <v>233</v>
      </c>
      <c r="AA1355" s="374" t="s">
        <v>1855</v>
      </c>
      <c r="AB1355" s="283">
        <f>V1357</f>
        <v>306.89999999999998</v>
      </c>
      <c r="AC1355" s="283" t="s">
        <v>233</v>
      </c>
      <c r="AD1355" s="283">
        <f t="shared" si="181"/>
        <v>224.65</v>
      </c>
      <c r="AE1355" s="283">
        <f t="shared" si="179"/>
        <v>0</v>
      </c>
    </row>
    <row r="1356" spans="6:31" ht="24" customHeight="1">
      <c r="F1356" s="283">
        <v>10</v>
      </c>
      <c r="G1356" s="283" t="s">
        <v>609</v>
      </c>
      <c r="H1356" s="374" t="s">
        <v>1295</v>
      </c>
      <c r="I1356" s="283">
        <f>(K1345)</f>
        <v>316.69</v>
      </c>
      <c r="J1356" s="374" t="s">
        <v>609</v>
      </c>
      <c r="K1356" s="283">
        <f t="shared" si="184"/>
        <v>3166.9</v>
      </c>
      <c r="M1356" s="283">
        <v>0.3</v>
      </c>
      <c r="N1356" s="283" t="s">
        <v>2151</v>
      </c>
      <c r="O1356" s="283" t="s">
        <v>5318</v>
      </c>
      <c r="P1356" s="283">
        <v>17600</v>
      </c>
      <c r="Q1356" s="744" t="s">
        <v>2151</v>
      </c>
      <c r="R1356" s="283">
        <f>P1356*M1356</f>
        <v>5280</v>
      </c>
      <c r="S1356" s="746">
        <v>1.28</v>
      </c>
      <c r="T1356" s="283" t="s">
        <v>913</v>
      </c>
      <c r="U1356" s="374" t="s">
        <v>1854</v>
      </c>
      <c r="V1356" s="283">
        <f t="shared" si="182"/>
        <v>325</v>
      </c>
      <c r="W1356" s="744" t="s">
        <v>913</v>
      </c>
      <c r="X1356" s="283">
        <f t="shared" si="183"/>
        <v>416</v>
      </c>
      <c r="Y1356" s="783">
        <v>6.8719999999999999</v>
      </c>
      <c r="Z1356" s="283" t="s">
        <v>826</v>
      </c>
      <c r="AA1356" s="374" t="s">
        <v>1856</v>
      </c>
      <c r="AB1356" s="283">
        <f t="shared" si="180"/>
        <v>29.05</v>
      </c>
      <c r="AC1356" s="283" t="s">
        <v>826</v>
      </c>
      <c r="AD1356" s="283">
        <f t="shared" si="181"/>
        <v>199.63</v>
      </c>
      <c r="AE1356" s="283">
        <f t="shared" si="179"/>
        <v>0</v>
      </c>
    </row>
    <row r="1357" spans="6:31" ht="24" customHeight="1">
      <c r="F1357" s="746">
        <v>1.54</v>
      </c>
      <c r="G1357" s="283" t="s">
        <v>1645</v>
      </c>
      <c r="H1357" s="374" t="s">
        <v>964</v>
      </c>
      <c r="I1357" s="283">
        <f>C654</f>
        <v>42.7</v>
      </c>
      <c r="J1357" s="374" t="s">
        <v>1645</v>
      </c>
      <c r="K1357" s="283">
        <f t="shared" si="184"/>
        <v>65.760000000000005</v>
      </c>
      <c r="Q1357" s="744"/>
      <c r="S1357" s="746">
        <v>1.107</v>
      </c>
      <c r="T1357" s="283" t="s">
        <v>233</v>
      </c>
      <c r="U1357" s="374" t="s">
        <v>1855</v>
      </c>
      <c r="V1357" s="283">
        <f t="shared" si="182"/>
        <v>306.89999999999998</v>
      </c>
      <c r="W1357" s="744" t="s">
        <v>233</v>
      </c>
      <c r="X1357" s="283">
        <f t="shared" si="183"/>
        <v>339.74</v>
      </c>
      <c r="Y1357" s="783">
        <v>8</v>
      </c>
      <c r="Z1357" s="283" t="s">
        <v>769</v>
      </c>
      <c r="AA1357" s="374" t="s">
        <v>1857</v>
      </c>
      <c r="AB1357" s="283">
        <f t="shared" si="180"/>
        <v>71.900000000000006</v>
      </c>
      <c r="AC1357" s="283" t="s">
        <v>769</v>
      </c>
      <c r="AD1357" s="283">
        <f t="shared" si="181"/>
        <v>575.20000000000005</v>
      </c>
      <c r="AE1357" s="283">
        <f t="shared" si="179"/>
        <v>0</v>
      </c>
    </row>
    <row r="1358" spans="6:31" ht="24" customHeight="1">
      <c r="F1358" s="283">
        <v>1.1000000000000001</v>
      </c>
      <c r="G1358" s="283" t="s">
        <v>769</v>
      </c>
      <c r="H1358" s="374" t="s">
        <v>2009</v>
      </c>
      <c r="I1358" s="283">
        <f>(C10)</f>
        <v>999</v>
      </c>
      <c r="J1358" s="374" t="s">
        <v>769</v>
      </c>
      <c r="K1358" s="283">
        <f t="shared" si="184"/>
        <v>1098.9000000000001</v>
      </c>
      <c r="O1358" s="283" t="s">
        <v>1202</v>
      </c>
      <c r="Q1358" s="744"/>
      <c r="R1358" s="283">
        <f>SUM(R1354:R1356)</f>
        <v>7590</v>
      </c>
      <c r="S1358" s="746">
        <v>10.343999999999999</v>
      </c>
      <c r="T1358" s="283" t="s">
        <v>826</v>
      </c>
      <c r="U1358" s="374" t="s">
        <v>1856</v>
      </c>
      <c r="V1358" s="283">
        <f t="shared" si="182"/>
        <v>29.05</v>
      </c>
      <c r="W1358" s="744" t="s">
        <v>826</v>
      </c>
      <c r="X1358" s="283">
        <f t="shared" si="183"/>
        <v>300.49</v>
      </c>
      <c r="Y1358" s="783">
        <v>4</v>
      </c>
      <c r="Z1358" s="283" t="s">
        <v>769</v>
      </c>
      <c r="AA1358" s="374" t="s">
        <v>1858</v>
      </c>
      <c r="AB1358" s="283">
        <f t="shared" si="180"/>
        <v>57.65</v>
      </c>
      <c r="AC1358" s="283" t="s">
        <v>769</v>
      </c>
      <c r="AD1358" s="283">
        <f t="shared" si="181"/>
        <v>230.6</v>
      </c>
      <c r="AE1358" s="283">
        <f t="shared" si="179"/>
        <v>0</v>
      </c>
    </row>
    <row r="1359" spans="6:31" ht="24" customHeight="1">
      <c r="F1359" s="283">
        <v>2.1</v>
      </c>
      <c r="G1359" s="283" t="s">
        <v>769</v>
      </c>
      <c r="H1359" s="374" t="s">
        <v>1712</v>
      </c>
      <c r="I1359" s="283">
        <f>(C11)</f>
        <v>932</v>
      </c>
      <c r="J1359" s="374" t="s">
        <v>769</v>
      </c>
      <c r="K1359" s="283">
        <f t="shared" si="184"/>
        <v>1957.2</v>
      </c>
      <c r="O1359" s="750" t="s">
        <v>1203</v>
      </c>
      <c r="Q1359" s="744"/>
      <c r="R1359" s="751">
        <f>R1358/10</f>
        <v>759</v>
      </c>
      <c r="S1359" s="746">
        <v>12</v>
      </c>
      <c r="T1359" s="283" t="s">
        <v>769</v>
      </c>
      <c r="U1359" s="374" t="s">
        <v>4036</v>
      </c>
      <c r="V1359" s="283">
        <f t="shared" si="182"/>
        <v>71.900000000000006</v>
      </c>
      <c r="W1359" s="744" t="s">
        <v>769</v>
      </c>
      <c r="X1359" s="283">
        <f t="shared" si="183"/>
        <v>862.8</v>
      </c>
      <c r="Y1359" s="783">
        <v>4</v>
      </c>
      <c r="Z1359" s="283" t="s">
        <v>769</v>
      </c>
      <c r="AA1359" s="374" t="s">
        <v>1859</v>
      </c>
      <c r="AB1359" s="283">
        <f t="shared" si="180"/>
        <v>30</v>
      </c>
      <c r="AC1359" s="283" t="s">
        <v>769</v>
      </c>
      <c r="AD1359" s="283">
        <f t="shared" si="181"/>
        <v>120</v>
      </c>
      <c r="AE1359" s="283">
        <f t="shared" si="179"/>
        <v>0</v>
      </c>
    </row>
    <row r="1360" spans="6:31" ht="24" customHeight="1">
      <c r="F1360" s="283">
        <v>2.2000000000000002</v>
      </c>
      <c r="G1360" s="283" t="s">
        <v>769</v>
      </c>
      <c r="H1360" s="374" t="s">
        <v>1902</v>
      </c>
      <c r="I1360" s="283">
        <f>(C12)</f>
        <v>651</v>
      </c>
      <c r="J1360" s="374" t="s">
        <v>769</v>
      </c>
      <c r="K1360" s="283">
        <f t="shared" si="184"/>
        <v>1432.2</v>
      </c>
      <c r="Q1360" s="744"/>
      <c r="S1360" s="746">
        <v>6</v>
      </c>
      <c r="T1360" s="283" t="s">
        <v>769</v>
      </c>
      <c r="U1360" s="374" t="s">
        <v>1858</v>
      </c>
      <c r="V1360" s="283">
        <f t="shared" si="182"/>
        <v>57.65</v>
      </c>
      <c r="W1360" s="744" t="s">
        <v>769</v>
      </c>
      <c r="X1360" s="283">
        <f t="shared" si="183"/>
        <v>345.9</v>
      </c>
      <c r="Y1360" s="783">
        <v>4</v>
      </c>
      <c r="Z1360" s="283" t="s">
        <v>769</v>
      </c>
      <c r="AA1360" s="374" t="s">
        <v>1860</v>
      </c>
      <c r="AB1360" s="283">
        <f t="shared" si="180"/>
        <v>20</v>
      </c>
      <c r="AC1360" s="283" t="s">
        <v>769</v>
      </c>
      <c r="AD1360" s="283">
        <f t="shared" si="181"/>
        <v>80</v>
      </c>
      <c r="AE1360" s="283">
        <f t="shared" si="179"/>
        <v>0</v>
      </c>
    </row>
    <row r="1361" spans="6:31" ht="24" customHeight="1">
      <c r="F1361" s="283">
        <v>1.1000000000000001</v>
      </c>
      <c r="G1361" s="283" t="s">
        <v>769</v>
      </c>
      <c r="H1361" s="374" t="s">
        <v>320</v>
      </c>
      <c r="I1361" s="283">
        <f>(C13)</f>
        <v>534</v>
      </c>
      <c r="J1361" s="374" t="s">
        <v>769</v>
      </c>
      <c r="K1361" s="283">
        <f t="shared" si="184"/>
        <v>587.4</v>
      </c>
      <c r="M1361" s="283">
        <v>2</v>
      </c>
      <c r="N1361" s="283" t="s">
        <v>1432</v>
      </c>
      <c r="O1361" s="283" t="s">
        <v>348</v>
      </c>
      <c r="P1361" s="283">
        <f>C12</f>
        <v>651</v>
      </c>
      <c r="Q1361" s="744" t="s">
        <v>1714</v>
      </c>
      <c r="R1361" s="283">
        <f>P1361*M1361</f>
        <v>1302</v>
      </c>
      <c r="S1361" s="746">
        <v>6</v>
      </c>
      <c r="T1361" s="283" t="s">
        <v>769</v>
      </c>
      <c r="U1361" s="374" t="s">
        <v>1859</v>
      </c>
      <c r="V1361" s="283">
        <f t="shared" si="182"/>
        <v>30</v>
      </c>
      <c r="W1361" s="744" t="s">
        <v>769</v>
      </c>
      <c r="X1361" s="283">
        <f t="shared" si="183"/>
        <v>180</v>
      </c>
      <c r="Y1361" s="783">
        <v>4</v>
      </c>
      <c r="Z1361" s="283" t="s">
        <v>769</v>
      </c>
      <c r="AA1361" s="374" t="s">
        <v>1861</v>
      </c>
      <c r="AB1361" s="283">
        <f t="shared" si="180"/>
        <v>15</v>
      </c>
      <c r="AC1361" s="283" t="s">
        <v>769</v>
      </c>
      <c r="AD1361" s="283">
        <f t="shared" si="181"/>
        <v>60</v>
      </c>
      <c r="AE1361" s="283">
        <f t="shared" si="179"/>
        <v>0</v>
      </c>
    </row>
    <row r="1362" spans="6:31" ht="24" customHeight="1">
      <c r="G1362" s="283" t="s">
        <v>449</v>
      </c>
      <c r="H1362" s="374" t="s">
        <v>450</v>
      </c>
      <c r="J1362" s="374" t="s">
        <v>449</v>
      </c>
      <c r="K1362" s="283">
        <v>0</v>
      </c>
      <c r="Q1362" s="744"/>
      <c r="S1362" s="746">
        <v>6</v>
      </c>
      <c r="T1362" s="283" t="s">
        <v>769</v>
      </c>
      <c r="U1362" s="374" t="s">
        <v>1860</v>
      </c>
      <c r="V1362" s="283">
        <f t="shared" si="182"/>
        <v>20</v>
      </c>
      <c r="W1362" s="744" t="s">
        <v>769</v>
      </c>
      <c r="X1362" s="283">
        <f t="shared" si="183"/>
        <v>120</v>
      </c>
      <c r="Y1362" s="783">
        <v>0.94499999999999995</v>
      </c>
      <c r="Z1362" s="283" t="s">
        <v>2283</v>
      </c>
      <c r="AA1362" s="374" t="s">
        <v>1862</v>
      </c>
      <c r="AB1362" s="283">
        <f t="shared" si="180"/>
        <v>1998</v>
      </c>
      <c r="AC1362" s="283" t="s">
        <v>2283</v>
      </c>
      <c r="AD1362" s="283">
        <f t="shared" si="181"/>
        <v>1888.11</v>
      </c>
      <c r="AE1362" s="283">
        <f t="shared" si="179"/>
        <v>0</v>
      </c>
    </row>
    <row r="1363" spans="6:31" ht="24" customHeight="1">
      <c r="K1363" s="748" t="s">
        <v>1586</v>
      </c>
      <c r="O1363" s="283" t="s">
        <v>1204</v>
      </c>
      <c r="P1363" s="283" t="s">
        <v>657</v>
      </c>
      <c r="Q1363" s="744"/>
      <c r="R1363" s="283">
        <v>11.5</v>
      </c>
      <c r="S1363" s="746">
        <v>4</v>
      </c>
      <c r="T1363" s="283" t="s">
        <v>769</v>
      </c>
      <c r="U1363" s="374" t="s">
        <v>1861</v>
      </c>
      <c r="V1363" s="283">
        <f t="shared" si="182"/>
        <v>15</v>
      </c>
      <c r="W1363" s="744" t="s">
        <v>769</v>
      </c>
      <c r="X1363" s="283">
        <f t="shared" si="183"/>
        <v>60</v>
      </c>
      <c r="AA1363" s="374" t="s">
        <v>1863</v>
      </c>
      <c r="AC1363" s="744"/>
      <c r="AD1363" s="283">
        <v>0.81</v>
      </c>
      <c r="AE1363" s="283">
        <f t="shared" si="179"/>
        <v>0</v>
      </c>
    </row>
    <row r="1364" spans="6:31" ht="24" customHeight="1">
      <c r="H1364" s="374" t="s">
        <v>441</v>
      </c>
      <c r="K1364" s="283">
        <f>SUM(K1354:K1362)</f>
        <v>11979.21</v>
      </c>
      <c r="O1364" s="750" t="s">
        <v>1205</v>
      </c>
      <c r="Q1364" s="744"/>
      <c r="R1364" s="283">
        <f>SUM(R1359:R1363)</f>
        <v>2072.5</v>
      </c>
      <c r="S1364" s="746">
        <v>1.4179999999999999</v>
      </c>
      <c r="T1364" s="283" t="s">
        <v>2283</v>
      </c>
      <c r="U1364" s="374" t="s">
        <v>1862</v>
      </c>
      <c r="V1364" s="283">
        <f t="shared" si="182"/>
        <v>1998</v>
      </c>
      <c r="W1364" s="744" t="s">
        <v>2283</v>
      </c>
      <c r="X1364" s="283">
        <f t="shared" si="183"/>
        <v>2833.16</v>
      </c>
      <c r="AA1364" s="750" t="s">
        <v>3536</v>
      </c>
      <c r="AD1364" s="751">
        <f>SUM(AD1351:AD1363)</f>
        <v>6960.5</v>
      </c>
      <c r="AE1364" s="283">
        <f t="shared" si="179"/>
        <v>0</v>
      </c>
    </row>
    <row r="1365" spans="6:31" ht="24" customHeight="1">
      <c r="K1365" s="748" t="s">
        <v>1586</v>
      </c>
      <c r="Q1365" s="744"/>
      <c r="U1365" s="374" t="s">
        <v>1863</v>
      </c>
      <c r="W1365" s="744"/>
      <c r="AE1365" s="283">
        <f t="shared" si="179"/>
        <v>0</v>
      </c>
    </row>
    <row r="1366" spans="6:31" ht="24" customHeight="1">
      <c r="H1366" s="757" t="s">
        <v>552</v>
      </c>
      <c r="K1366" s="751">
        <f>(K1364/10)</f>
        <v>1197.92</v>
      </c>
      <c r="O1366" s="750" t="s">
        <v>1206</v>
      </c>
      <c r="Q1366" s="744"/>
      <c r="R1366" s="751">
        <f>R1364/6</f>
        <v>345.42</v>
      </c>
      <c r="U1366" s="750" t="s">
        <v>3536</v>
      </c>
      <c r="W1366" s="744"/>
      <c r="X1366" s="751">
        <f>SUM(X1353:X1365)</f>
        <v>10349.34</v>
      </c>
      <c r="AE1366" s="283">
        <f t="shared" si="179"/>
        <v>0</v>
      </c>
    </row>
    <row r="1367" spans="6:31" ht="24" customHeight="1">
      <c r="K1367" s="748" t="s">
        <v>2055</v>
      </c>
      <c r="Q1367" s="744"/>
      <c r="W1367" s="744"/>
      <c r="AA1367" s="753" t="s">
        <v>3476</v>
      </c>
      <c r="AC1367" s="374"/>
      <c r="AE1367" s="283">
        <f t="shared" si="179"/>
        <v>0</v>
      </c>
    </row>
    <row r="1368" spans="6:31" ht="24" customHeight="1">
      <c r="K1368" s="748"/>
      <c r="Q1368" s="374"/>
      <c r="W1368" s="744"/>
      <c r="Y1368" s="783">
        <v>3.72</v>
      </c>
      <c r="Z1368" s="283" t="s">
        <v>913</v>
      </c>
      <c r="AA1368" s="374" t="s">
        <v>1854</v>
      </c>
      <c r="AB1368" s="283">
        <f>AB1351</f>
        <v>325</v>
      </c>
      <c r="AC1368" s="283" t="s">
        <v>913</v>
      </c>
      <c r="AD1368" s="283">
        <f t="shared" ref="AD1368:AD1379" si="185">AB1368*Y1368</f>
        <v>1209</v>
      </c>
      <c r="AE1368" s="283">
        <f t="shared" si="179"/>
        <v>0</v>
      </c>
    </row>
    <row r="1369" spans="6:31" ht="24" customHeight="1">
      <c r="K1369" s="748"/>
      <c r="M1369" s="765">
        <v>29.5</v>
      </c>
      <c r="N1369" s="283" t="s">
        <v>2251</v>
      </c>
      <c r="O1369" s="374" t="s">
        <v>1207</v>
      </c>
      <c r="Q1369" s="744"/>
      <c r="U1369" s="753" t="s">
        <v>3475</v>
      </c>
      <c r="W1369" s="744"/>
      <c r="Y1369" s="783">
        <v>2.69</v>
      </c>
      <c r="Z1369" s="283" t="s">
        <v>913</v>
      </c>
      <c r="AA1369" s="374" t="s">
        <v>1854</v>
      </c>
      <c r="AB1369" s="283">
        <f t="shared" ref="AB1369:AB1379" si="186">AB1352</f>
        <v>325</v>
      </c>
      <c r="AC1369" s="283" t="s">
        <v>913</v>
      </c>
      <c r="AD1369" s="283">
        <f t="shared" si="185"/>
        <v>874.25</v>
      </c>
      <c r="AE1369" s="283">
        <f t="shared" si="179"/>
        <v>0</v>
      </c>
    </row>
    <row r="1370" spans="6:31" ht="24" customHeight="1">
      <c r="F1370" s="765">
        <v>32.200000000000003</v>
      </c>
      <c r="G1370" s="283" t="s">
        <v>2251</v>
      </c>
      <c r="H1370" s="374" t="s">
        <v>755</v>
      </c>
      <c r="K1370" s="748"/>
      <c r="O1370" s="374" t="s">
        <v>858</v>
      </c>
      <c r="Q1370" s="744"/>
      <c r="S1370" s="746">
        <v>3.49</v>
      </c>
      <c r="T1370" s="283" t="s">
        <v>913</v>
      </c>
      <c r="U1370" s="374" t="s">
        <v>1854</v>
      </c>
      <c r="V1370" s="283">
        <f>P1409</f>
        <v>325</v>
      </c>
      <c r="W1370" s="744" t="s">
        <v>913</v>
      </c>
      <c r="X1370" s="283">
        <f>V1370*S1370</f>
        <v>1134.25</v>
      </c>
      <c r="Y1370" s="783">
        <v>6.15</v>
      </c>
      <c r="Z1370" s="283" t="s">
        <v>913</v>
      </c>
      <c r="AA1370" s="374" t="s">
        <v>1854</v>
      </c>
      <c r="AB1370" s="283">
        <f t="shared" si="186"/>
        <v>325</v>
      </c>
      <c r="AC1370" s="283" t="s">
        <v>913</v>
      </c>
      <c r="AD1370" s="283">
        <f t="shared" si="185"/>
        <v>1998.75</v>
      </c>
      <c r="AE1370" s="283">
        <f t="shared" si="179"/>
        <v>0</v>
      </c>
    </row>
    <row r="1371" spans="6:31" ht="24" customHeight="1">
      <c r="H1371" s="374" t="s">
        <v>1483</v>
      </c>
      <c r="K1371" s="748"/>
      <c r="O1371" s="374" t="s">
        <v>1936</v>
      </c>
      <c r="Q1371" s="744"/>
      <c r="S1371" s="746">
        <v>2.5299999999999998</v>
      </c>
      <c r="T1371" s="283" t="s">
        <v>913</v>
      </c>
      <c r="U1371" s="374" t="s">
        <v>1854</v>
      </c>
      <c r="V1371" s="283">
        <f t="shared" ref="V1371:V1381" si="187">P1410</f>
        <v>325</v>
      </c>
      <c r="W1371" s="744" t="s">
        <v>913</v>
      </c>
      <c r="X1371" s="283">
        <f t="shared" ref="X1371:X1381" si="188">V1371*S1371</f>
        <v>822.25</v>
      </c>
      <c r="Y1371" s="783">
        <v>1.07</v>
      </c>
      <c r="Z1371" s="283" t="s">
        <v>913</v>
      </c>
      <c r="AA1371" s="374" t="s">
        <v>1854</v>
      </c>
      <c r="AB1371" s="283">
        <f t="shared" si="186"/>
        <v>325</v>
      </c>
      <c r="AC1371" s="283" t="s">
        <v>913</v>
      </c>
      <c r="AD1371" s="283">
        <f t="shared" si="185"/>
        <v>347.75</v>
      </c>
      <c r="AE1371" s="283">
        <f t="shared" si="179"/>
        <v>0</v>
      </c>
    </row>
    <row r="1372" spans="6:31" ht="24" customHeight="1">
      <c r="H1372" s="374" t="s">
        <v>683</v>
      </c>
      <c r="K1372" s="748"/>
      <c r="O1372" s="748" t="s">
        <v>1586</v>
      </c>
      <c r="P1372" s="748" t="s">
        <v>1586</v>
      </c>
      <c r="Q1372" s="744"/>
      <c r="S1372" s="746">
        <v>5.75</v>
      </c>
      <c r="T1372" s="283" t="s">
        <v>913</v>
      </c>
      <c r="U1372" s="374" t="s">
        <v>1854</v>
      </c>
      <c r="V1372" s="283">
        <f t="shared" si="187"/>
        <v>325</v>
      </c>
      <c r="W1372" s="744" t="s">
        <v>913</v>
      </c>
      <c r="X1372" s="283">
        <f t="shared" si="188"/>
        <v>1868.75</v>
      </c>
      <c r="Y1372" s="783">
        <v>1.153</v>
      </c>
      <c r="Z1372" s="283" t="s">
        <v>233</v>
      </c>
      <c r="AA1372" s="374" t="s">
        <v>1855</v>
      </c>
      <c r="AB1372" s="283">
        <f t="shared" si="186"/>
        <v>306.89999999999998</v>
      </c>
      <c r="AC1372" s="283" t="s">
        <v>233</v>
      </c>
      <c r="AD1372" s="283">
        <f t="shared" si="185"/>
        <v>353.86</v>
      </c>
      <c r="AE1372" s="283">
        <f t="shared" si="179"/>
        <v>0</v>
      </c>
    </row>
    <row r="1373" spans="6:31" ht="24" customHeight="1">
      <c r="H1373" s="374" t="s">
        <v>1967</v>
      </c>
      <c r="K1373" s="748"/>
      <c r="M1373" s="283">
        <v>10</v>
      </c>
      <c r="N1373" s="283" t="s">
        <v>609</v>
      </c>
      <c r="O1373" s="374" t="s">
        <v>1208</v>
      </c>
      <c r="P1373" s="784">
        <f>P1333</f>
        <v>1626</v>
      </c>
      <c r="Q1373" s="744" t="s">
        <v>609</v>
      </c>
      <c r="R1373" s="283">
        <f>M1373*P1373</f>
        <v>16260</v>
      </c>
      <c r="S1373" s="746">
        <v>1</v>
      </c>
      <c r="T1373" s="283" t="s">
        <v>913</v>
      </c>
      <c r="U1373" s="374" t="s">
        <v>1854</v>
      </c>
      <c r="V1373" s="283">
        <f t="shared" si="187"/>
        <v>325</v>
      </c>
      <c r="W1373" s="744" t="s">
        <v>913</v>
      </c>
      <c r="X1373" s="283">
        <f t="shared" si="188"/>
        <v>325</v>
      </c>
      <c r="Y1373" s="783">
        <v>8.6720000000000006</v>
      </c>
      <c r="Z1373" s="283" t="s">
        <v>826</v>
      </c>
      <c r="AA1373" s="374" t="s">
        <v>1856</v>
      </c>
      <c r="AB1373" s="283">
        <f t="shared" si="186"/>
        <v>29.05</v>
      </c>
      <c r="AC1373" s="283" t="s">
        <v>826</v>
      </c>
      <c r="AD1373" s="283">
        <f t="shared" si="185"/>
        <v>251.92</v>
      </c>
      <c r="AE1373" s="283">
        <f t="shared" si="179"/>
        <v>0</v>
      </c>
    </row>
    <row r="1374" spans="6:31" ht="24" customHeight="1">
      <c r="H1374" s="374" t="s">
        <v>1293</v>
      </c>
      <c r="K1374" s="748"/>
      <c r="M1374" s="283">
        <v>0.21</v>
      </c>
      <c r="N1374" s="283" t="s">
        <v>869</v>
      </c>
      <c r="O1374" s="374" t="s">
        <v>1876</v>
      </c>
      <c r="P1374" s="283">
        <f>P1334</f>
        <v>5089.26</v>
      </c>
      <c r="Q1374" s="744" t="s">
        <v>869</v>
      </c>
      <c r="R1374" s="283">
        <f>(M1374*P1374)</f>
        <v>1068.74</v>
      </c>
      <c r="S1374" s="746">
        <v>0.96699999999999997</v>
      </c>
      <c r="T1374" s="283" t="s">
        <v>233</v>
      </c>
      <c r="U1374" s="374" t="s">
        <v>1855</v>
      </c>
      <c r="V1374" s="283">
        <f t="shared" si="187"/>
        <v>306.89999999999998</v>
      </c>
      <c r="W1374" s="744" t="s">
        <v>233</v>
      </c>
      <c r="X1374" s="283">
        <f t="shared" si="188"/>
        <v>296.77</v>
      </c>
      <c r="Y1374" s="783">
        <v>8</v>
      </c>
      <c r="Z1374" s="283" t="s">
        <v>769</v>
      </c>
      <c r="AA1374" s="374" t="s">
        <v>1857</v>
      </c>
      <c r="AB1374" s="283">
        <f t="shared" si="186"/>
        <v>71.900000000000006</v>
      </c>
      <c r="AC1374" s="283" t="s">
        <v>769</v>
      </c>
      <c r="AD1374" s="283">
        <f t="shared" si="185"/>
        <v>575.20000000000005</v>
      </c>
      <c r="AE1374" s="283">
        <f t="shared" si="179"/>
        <v>0</v>
      </c>
    </row>
    <row r="1375" spans="6:31" ht="24" customHeight="1">
      <c r="H1375" s="748" t="s">
        <v>1586</v>
      </c>
      <c r="K1375" s="748"/>
      <c r="O1375" s="374" t="s">
        <v>1877</v>
      </c>
      <c r="P1375" s="374" t="s">
        <v>975</v>
      </c>
      <c r="Q1375" s="744"/>
      <c r="R1375" s="374" t="s">
        <v>975</v>
      </c>
      <c r="S1375" s="746">
        <v>8.0719999999999992</v>
      </c>
      <c r="T1375" s="283" t="s">
        <v>826</v>
      </c>
      <c r="U1375" s="374" t="s">
        <v>1856</v>
      </c>
      <c r="V1375" s="283">
        <f t="shared" si="187"/>
        <v>29.05</v>
      </c>
      <c r="W1375" s="744" t="s">
        <v>826</v>
      </c>
      <c r="X1375" s="283">
        <f t="shared" si="188"/>
        <v>234.49</v>
      </c>
      <c r="Y1375" s="783">
        <v>4</v>
      </c>
      <c r="Z1375" s="283" t="s">
        <v>769</v>
      </c>
      <c r="AA1375" s="374" t="s">
        <v>1858</v>
      </c>
      <c r="AB1375" s="283">
        <f t="shared" si="186"/>
        <v>57.65</v>
      </c>
      <c r="AC1375" s="283" t="s">
        <v>769</v>
      </c>
      <c r="AD1375" s="283">
        <f t="shared" si="185"/>
        <v>230.6</v>
      </c>
      <c r="AE1375" s="283">
        <f t="shared" si="179"/>
        <v>0</v>
      </c>
    </row>
    <row r="1376" spans="6:31" ht="24" customHeight="1">
      <c r="F1376" s="283">
        <v>190</v>
      </c>
      <c r="G1376" s="283" t="s">
        <v>1873</v>
      </c>
      <c r="H1376" s="374" t="s">
        <v>1567</v>
      </c>
      <c r="I1376" s="283">
        <f>C84</f>
        <v>16106</v>
      </c>
      <c r="J1376" s="374" t="s">
        <v>1481</v>
      </c>
      <c r="K1376" s="283">
        <f>(F1376*I1376)/1000</f>
        <v>3060.14</v>
      </c>
      <c r="M1376" s="283">
        <v>1.1000000000000001</v>
      </c>
      <c r="N1376" s="283" t="s">
        <v>769</v>
      </c>
      <c r="O1376" s="374" t="s">
        <v>2009</v>
      </c>
      <c r="P1376" s="283">
        <f>AE9</f>
        <v>999</v>
      </c>
      <c r="Q1376" s="744" t="s">
        <v>769</v>
      </c>
      <c r="R1376" s="283">
        <f>(M1376*P1376)</f>
        <v>1098.9000000000001</v>
      </c>
      <c r="S1376" s="746">
        <v>8</v>
      </c>
      <c r="T1376" s="283" t="s">
        <v>769</v>
      </c>
      <c r="U1376" s="374" t="s">
        <v>1857</v>
      </c>
      <c r="V1376" s="283">
        <f t="shared" si="187"/>
        <v>71.900000000000006</v>
      </c>
      <c r="W1376" s="744" t="s">
        <v>769</v>
      </c>
      <c r="X1376" s="283">
        <f t="shared" si="188"/>
        <v>575.20000000000005</v>
      </c>
      <c r="Y1376" s="783">
        <v>4</v>
      </c>
      <c r="Z1376" s="283" t="s">
        <v>769</v>
      </c>
      <c r="AA1376" s="374" t="s">
        <v>1859</v>
      </c>
      <c r="AB1376" s="283">
        <f t="shared" si="186"/>
        <v>30</v>
      </c>
      <c r="AC1376" s="283" t="s">
        <v>769</v>
      </c>
      <c r="AD1376" s="283">
        <f t="shared" si="185"/>
        <v>120</v>
      </c>
      <c r="AE1376" s="283">
        <f t="shared" si="179"/>
        <v>0</v>
      </c>
    </row>
    <row r="1377" spans="6:31" ht="24" customHeight="1">
      <c r="F1377" s="283">
        <v>0.12</v>
      </c>
      <c r="G1377" s="283" t="s">
        <v>869</v>
      </c>
      <c r="H1377" s="374" t="s">
        <v>1876</v>
      </c>
      <c r="I1377" s="283">
        <f>K32</f>
        <v>5089.26</v>
      </c>
      <c r="J1377" s="374" t="s">
        <v>869</v>
      </c>
      <c r="K1377" s="283">
        <f t="shared" ref="K1377:K1383" si="189">(F1377*I1377)</f>
        <v>610.71</v>
      </c>
      <c r="M1377" s="283">
        <v>1.1000000000000001</v>
      </c>
      <c r="N1377" s="283" t="s">
        <v>769</v>
      </c>
      <c r="O1377" s="374" t="s">
        <v>1712</v>
      </c>
      <c r="P1377" s="283">
        <f>AE10</f>
        <v>932</v>
      </c>
      <c r="Q1377" s="744" t="s">
        <v>769</v>
      </c>
      <c r="R1377" s="283">
        <f>(M1377*P1377)</f>
        <v>1025.2</v>
      </c>
      <c r="S1377" s="746">
        <v>4</v>
      </c>
      <c r="T1377" s="283" t="s">
        <v>769</v>
      </c>
      <c r="U1377" s="374" t="s">
        <v>1858</v>
      </c>
      <c r="V1377" s="283">
        <f t="shared" si="187"/>
        <v>57.65</v>
      </c>
      <c r="W1377" s="744" t="s">
        <v>769</v>
      </c>
      <c r="X1377" s="283">
        <f t="shared" si="188"/>
        <v>230.6</v>
      </c>
      <c r="Y1377" s="783">
        <v>4</v>
      </c>
      <c r="Z1377" s="283" t="s">
        <v>769</v>
      </c>
      <c r="AA1377" s="374" t="s">
        <v>1860</v>
      </c>
      <c r="AB1377" s="283">
        <f t="shared" si="186"/>
        <v>20</v>
      </c>
      <c r="AC1377" s="283" t="s">
        <v>769</v>
      </c>
      <c r="AD1377" s="283">
        <f t="shared" si="185"/>
        <v>80</v>
      </c>
      <c r="AE1377" s="283">
        <f t="shared" si="179"/>
        <v>0</v>
      </c>
    </row>
    <row r="1378" spans="6:31" ht="24" customHeight="1">
      <c r="F1378" s="283">
        <v>10</v>
      </c>
      <c r="G1378" s="283" t="s">
        <v>609</v>
      </c>
      <c r="H1378" s="374" t="s">
        <v>1295</v>
      </c>
      <c r="I1378" s="283">
        <f>K1345</f>
        <v>316.69</v>
      </c>
      <c r="J1378" s="374" t="s">
        <v>609</v>
      </c>
      <c r="K1378" s="283">
        <f t="shared" si="189"/>
        <v>3166.9</v>
      </c>
      <c r="M1378" s="283">
        <v>2.2000000000000002</v>
      </c>
      <c r="N1378" s="283" t="s">
        <v>769</v>
      </c>
      <c r="O1378" s="374" t="s">
        <v>1902</v>
      </c>
      <c r="P1378" s="283">
        <f>AE11</f>
        <v>651</v>
      </c>
      <c r="Q1378" s="744" t="s">
        <v>769</v>
      </c>
      <c r="R1378" s="283">
        <f>(M1378*P1378)</f>
        <v>1432.2</v>
      </c>
      <c r="S1378" s="746">
        <v>4</v>
      </c>
      <c r="T1378" s="283" t="s">
        <v>769</v>
      </c>
      <c r="U1378" s="374" t="s">
        <v>1859</v>
      </c>
      <c r="V1378" s="283">
        <f t="shared" si="187"/>
        <v>30</v>
      </c>
      <c r="W1378" s="744" t="s">
        <v>769</v>
      </c>
      <c r="X1378" s="283">
        <f t="shared" si="188"/>
        <v>120</v>
      </c>
      <c r="Y1378" s="783">
        <v>4</v>
      </c>
      <c r="Z1378" s="283" t="s">
        <v>769</v>
      </c>
      <c r="AA1378" s="374" t="s">
        <v>1861</v>
      </c>
      <c r="AB1378" s="283">
        <f t="shared" si="186"/>
        <v>15</v>
      </c>
      <c r="AC1378" s="283" t="s">
        <v>769</v>
      </c>
      <c r="AD1378" s="283">
        <f t="shared" si="185"/>
        <v>60</v>
      </c>
      <c r="AE1378" s="283">
        <f t="shared" si="179"/>
        <v>0</v>
      </c>
    </row>
    <row r="1379" spans="6:31" ht="24" customHeight="1">
      <c r="F1379" s="283">
        <v>5.8</v>
      </c>
      <c r="G1379" s="283" t="s">
        <v>1645</v>
      </c>
      <c r="H1379" s="374" t="s">
        <v>964</v>
      </c>
      <c r="I1379" s="283">
        <f>C654</f>
        <v>42.7</v>
      </c>
      <c r="J1379" s="374" t="s">
        <v>1645</v>
      </c>
      <c r="K1379" s="283">
        <f t="shared" si="189"/>
        <v>247.66</v>
      </c>
      <c r="M1379" s="283">
        <v>2.2000000000000002</v>
      </c>
      <c r="N1379" s="283" t="s">
        <v>769</v>
      </c>
      <c r="O1379" s="374" t="s">
        <v>320</v>
      </c>
      <c r="P1379" s="283">
        <f>AE12</f>
        <v>534</v>
      </c>
      <c r="Q1379" s="744" t="s">
        <v>769</v>
      </c>
      <c r="R1379" s="283">
        <f>(M1379*P1379)</f>
        <v>1174.8</v>
      </c>
      <c r="S1379" s="746">
        <v>4</v>
      </c>
      <c r="T1379" s="283" t="s">
        <v>769</v>
      </c>
      <c r="U1379" s="374" t="s">
        <v>1860</v>
      </c>
      <c r="V1379" s="283">
        <f t="shared" si="187"/>
        <v>20</v>
      </c>
      <c r="W1379" s="744" t="s">
        <v>769</v>
      </c>
      <c r="X1379" s="283">
        <f t="shared" si="188"/>
        <v>80</v>
      </c>
      <c r="Y1379" s="783">
        <v>1.42</v>
      </c>
      <c r="Z1379" s="283" t="s">
        <v>2283</v>
      </c>
      <c r="AA1379" s="374" t="s">
        <v>1862</v>
      </c>
      <c r="AB1379" s="283">
        <f t="shared" si="186"/>
        <v>1998</v>
      </c>
      <c r="AC1379" s="283" t="s">
        <v>2283</v>
      </c>
      <c r="AD1379" s="283">
        <f t="shared" si="185"/>
        <v>2837.16</v>
      </c>
      <c r="AE1379" s="283">
        <f t="shared" si="179"/>
        <v>0</v>
      </c>
    </row>
    <row r="1380" spans="6:31" ht="24" customHeight="1">
      <c r="F1380" s="283">
        <v>1.1000000000000001</v>
      </c>
      <c r="G1380" s="283" t="s">
        <v>769</v>
      </c>
      <c r="H1380" s="374" t="s">
        <v>2009</v>
      </c>
      <c r="I1380" s="283">
        <f>C10</f>
        <v>999</v>
      </c>
      <c r="J1380" s="374" t="s">
        <v>769</v>
      </c>
      <c r="K1380" s="283">
        <f t="shared" si="189"/>
        <v>1098.9000000000001</v>
      </c>
      <c r="M1380" s="746">
        <v>20</v>
      </c>
      <c r="N1380" s="283" t="s">
        <v>1645</v>
      </c>
      <c r="O1380" s="374" t="s">
        <v>862</v>
      </c>
      <c r="P1380" s="283">
        <f>AC31</f>
        <v>6040</v>
      </c>
      <c r="Q1380" s="744" t="s">
        <v>861</v>
      </c>
      <c r="R1380" s="283">
        <f>(M1380*P1380)/1000</f>
        <v>120.8</v>
      </c>
      <c r="S1380" s="746">
        <v>4</v>
      </c>
      <c r="T1380" s="283" t="s">
        <v>769</v>
      </c>
      <c r="U1380" s="374" t="s">
        <v>1861</v>
      </c>
      <c r="V1380" s="283">
        <f t="shared" si="187"/>
        <v>15</v>
      </c>
      <c r="W1380" s="744" t="s">
        <v>769</v>
      </c>
      <c r="X1380" s="283">
        <f t="shared" si="188"/>
        <v>60</v>
      </c>
      <c r="AA1380" s="374" t="s">
        <v>1863</v>
      </c>
      <c r="AC1380" s="744"/>
      <c r="AD1380" s="283">
        <v>0.85</v>
      </c>
      <c r="AE1380" s="283">
        <f t="shared" si="179"/>
        <v>0</v>
      </c>
    </row>
    <row r="1381" spans="6:31" ht="24" customHeight="1">
      <c r="F1381" s="283">
        <v>2.1</v>
      </c>
      <c r="G1381" s="283" t="s">
        <v>769</v>
      </c>
      <c r="H1381" s="374" t="s">
        <v>1712</v>
      </c>
      <c r="I1381" s="283">
        <f>C11</f>
        <v>932</v>
      </c>
      <c r="J1381" s="374" t="s">
        <v>769</v>
      </c>
      <c r="K1381" s="283">
        <f t="shared" si="189"/>
        <v>1957.2</v>
      </c>
      <c r="M1381" s="746">
        <v>2</v>
      </c>
      <c r="N1381" s="283" t="s">
        <v>1645</v>
      </c>
      <c r="O1381" s="374" t="s">
        <v>2081</v>
      </c>
      <c r="P1381" s="283">
        <f>P1265</f>
        <v>36.1</v>
      </c>
      <c r="Q1381" s="744" t="s">
        <v>1645</v>
      </c>
      <c r="R1381" s="283">
        <f>(M1381*P1381)</f>
        <v>72.2</v>
      </c>
      <c r="S1381" s="746">
        <v>1.2150000000000001</v>
      </c>
      <c r="T1381" s="283" t="s">
        <v>2283</v>
      </c>
      <c r="U1381" s="374" t="s">
        <v>1862</v>
      </c>
      <c r="V1381" s="283">
        <f t="shared" si="187"/>
        <v>1998</v>
      </c>
      <c r="W1381" s="744" t="s">
        <v>2283</v>
      </c>
      <c r="X1381" s="283">
        <f t="shared" si="188"/>
        <v>2427.5700000000002</v>
      </c>
      <c r="AA1381" s="750" t="s">
        <v>3536</v>
      </c>
      <c r="AD1381" s="751">
        <f>SUM(AD1368:AD1380)</f>
        <v>8939.34</v>
      </c>
      <c r="AE1381" s="283">
        <f t="shared" si="179"/>
        <v>0</v>
      </c>
    </row>
    <row r="1382" spans="6:31" ht="24" customHeight="1">
      <c r="F1382" s="283">
        <v>2.2000000000000002</v>
      </c>
      <c r="G1382" s="283" t="s">
        <v>769</v>
      </c>
      <c r="H1382" s="374" t="s">
        <v>1902</v>
      </c>
      <c r="I1382" s="283">
        <f>C12</f>
        <v>651</v>
      </c>
      <c r="J1382" s="374" t="s">
        <v>769</v>
      </c>
      <c r="K1382" s="283">
        <f t="shared" si="189"/>
        <v>1432.2</v>
      </c>
      <c r="M1382" s="283">
        <v>1.6</v>
      </c>
      <c r="N1382" s="283" t="s">
        <v>769</v>
      </c>
      <c r="O1382" s="374" t="s">
        <v>1712</v>
      </c>
      <c r="P1382" s="283">
        <f>P1266</f>
        <v>932</v>
      </c>
      <c r="Q1382" s="744" t="s">
        <v>769</v>
      </c>
      <c r="R1382" s="283">
        <f>(M1382*P1382)</f>
        <v>1491.2</v>
      </c>
      <c r="U1382" s="374" t="s">
        <v>1863</v>
      </c>
      <c r="W1382" s="744"/>
      <c r="X1382" s="283">
        <v>0.23</v>
      </c>
      <c r="AE1382" s="283">
        <f t="shared" si="179"/>
        <v>0</v>
      </c>
    </row>
    <row r="1383" spans="6:31" ht="24" customHeight="1">
      <c r="F1383" s="283">
        <v>1.1000000000000001</v>
      </c>
      <c r="G1383" s="283" t="s">
        <v>769</v>
      </c>
      <c r="H1383" s="374" t="s">
        <v>320</v>
      </c>
      <c r="I1383" s="283">
        <f>C13</f>
        <v>534</v>
      </c>
      <c r="J1383" s="374" t="s">
        <v>769</v>
      </c>
      <c r="K1383" s="283">
        <f t="shared" si="189"/>
        <v>587.4</v>
      </c>
      <c r="M1383" s="283">
        <v>0.5</v>
      </c>
      <c r="N1383" s="283" t="s">
        <v>769</v>
      </c>
      <c r="O1383" s="374" t="s">
        <v>1902</v>
      </c>
      <c r="P1383" s="283">
        <f>P1267</f>
        <v>651</v>
      </c>
      <c r="Q1383" s="744" t="s">
        <v>769</v>
      </c>
      <c r="R1383" s="283">
        <f>(M1383*P1383)</f>
        <v>325.5</v>
      </c>
      <c r="U1383" s="750" t="s">
        <v>3536</v>
      </c>
      <c r="W1383" s="744"/>
      <c r="X1383" s="751">
        <f>SUM(X1370:X1382)</f>
        <v>8175.11</v>
      </c>
      <c r="AE1383" s="283">
        <f t="shared" si="179"/>
        <v>0</v>
      </c>
    </row>
    <row r="1384" spans="6:31" ht="24" customHeight="1">
      <c r="G1384" s="283" t="s">
        <v>449</v>
      </c>
      <c r="H1384" s="374" t="s">
        <v>450</v>
      </c>
      <c r="J1384" s="374" t="s">
        <v>449</v>
      </c>
      <c r="K1384" s="283">
        <v>0</v>
      </c>
      <c r="M1384" s="283">
        <v>1.1000000000000001</v>
      </c>
      <c r="N1384" s="283" t="s">
        <v>769</v>
      </c>
      <c r="O1384" s="374" t="s">
        <v>320</v>
      </c>
      <c r="P1384" s="283">
        <f>P1268</f>
        <v>534</v>
      </c>
      <c r="Q1384" s="744" t="s">
        <v>769</v>
      </c>
      <c r="R1384" s="283">
        <f>(M1384*P1384)</f>
        <v>587.4</v>
      </c>
      <c r="W1384" s="744"/>
      <c r="AA1384" s="753" t="s">
        <v>3477</v>
      </c>
      <c r="AC1384" s="374"/>
      <c r="AE1384" s="283">
        <f t="shared" si="179"/>
        <v>0</v>
      </c>
    </row>
    <row r="1385" spans="6:31" ht="24" customHeight="1">
      <c r="K1385" s="748" t="s">
        <v>1586</v>
      </c>
      <c r="N1385" s="283" t="s">
        <v>449</v>
      </c>
      <c r="O1385" s="374" t="s">
        <v>450</v>
      </c>
      <c r="Q1385" s="744" t="s">
        <v>449</v>
      </c>
      <c r="R1385" s="283">
        <v>0.28000000000000003</v>
      </c>
      <c r="W1385" s="744"/>
      <c r="Y1385" s="783">
        <v>2.87</v>
      </c>
      <c r="Z1385" s="283" t="s">
        <v>913</v>
      </c>
      <c r="AA1385" s="374" t="s">
        <v>1854</v>
      </c>
      <c r="AB1385" s="283">
        <f>AB1368</f>
        <v>325</v>
      </c>
      <c r="AC1385" s="283" t="s">
        <v>913</v>
      </c>
      <c r="AD1385" s="283">
        <f t="shared" ref="AD1385:AD1396" si="190">AB1385*Y1385</f>
        <v>932.75</v>
      </c>
      <c r="AE1385" s="283">
        <f t="shared" si="179"/>
        <v>0</v>
      </c>
    </row>
    <row r="1386" spans="6:31" ht="24" customHeight="1">
      <c r="H1386" s="374" t="s">
        <v>441</v>
      </c>
      <c r="K1386" s="283">
        <f>SUM(K1376:K1384)</f>
        <v>12161.11</v>
      </c>
      <c r="Q1386" s="744"/>
      <c r="R1386" s="748" t="s">
        <v>1586</v>
      </c>
      <c r="U1386" s="753" t="s">
        <v>3484</v>
      </c>
      <c r="W1386" s="744"/>
      <c r="Y1386" s="783">
        <v>0.56000000000000005</v>
      </c>
      <c r="Z1386" s="283" t="s">
        <v>913</v>
      </c>
      <c r="AA1386" s="374" t="s">
        <v>1854</v>
      </c>
      <c r="AB1386" s="283">
        <f t="shared" ref="AB1386:AB1396" si="191">AB1369</f>
        <v>325</v>
      </c>
      <c r="AC1386" s="283" t="s">
        <v>913</v>
      </c>
      <c r="AD1386" s="283">
        <f t="shared" si="190"/>
        <v>182</v>
      </c>
      <c r="AE1386" s="283">
        <f t="shared" si="179"/>
        <v>0</v>
      </c>
    </row>
    <row r="1387" spans="6:31" ht="24" customHeight="1">
      <c r="K1387" s="748" t="s">
        <v>1586</v>
      </c>
      <c r="O1387" s="374" t="s">
        <v>441</v>
      </c>
      <c r="Q1387" s="744"/>
      <c r="R1387" s="283">
        <f>SUM(R1373:R1385)</f>
        <v>24657.22</v>
      </c>
      <c r="S1387" s="746">
        <v>4.88</v>
      </c>
      <c r="T1387" s="283" t="s">
        <v>913</v>
      </c>
      <c r="U1387" s="374" t="s">
        <v>1854</v>
      </c>
      <c r="V1387" s="283">
        <f>V1370</f>
        <v>325</v>
      </c>
      <c r="W1387" s="744" t="s">
        <v>913</v>
      </c>
      <c r="X1387" s="283">
        <f>V1387*S1387</f>
        <v>1586</v>
      </c>
      <c r="Y1387" s="783">
        <v>2.98</v>
      </c>
      <c r="Z1387" s="283" t="s">
        <v>913</v>
      </c>
      <c r="AA1387" s="374" t="s">
        <v>1854</v>
      </c>
      <c r="AB1387" s="283">
        <f t="shared" si="191"/>
        <v>325</v>
      </c>
      <c r="AC1387" s="283" t="s">
        <v>913</v>
      </c>
      <c r="AD1387" s="283">
        <f t="shared" si="190"/>
        <v>968.5</v>
      </c>
      <c r="AE1387" s="283">
        <f t="shared" si="179"/>
        <v>0</v>
      </c>
    </row>
    <row r="1388" spans="6:31" ht="24" customHeight="1">
      <c r="H1388" s="757" t="s">
        <v>552</v>
      </c>
      <c r="K1388" s="751">
        <f>(K1386/10)</f>
        <v>1216.1099999999999</v>
      </c>
      <c r="Q1388" s="744"/>
      <c r="R1388" s="748" t="s">
        <v>1586</v>
      </c>
      <c r="S1388" s="746">
        <v>6.57</v>
      </c>
      <c r="T1388" s="283" t="s">
        <v>913</v>
      </c>
      <c r="U1388" s="374" t="s">
        <v>1854</v>
      </c>
      <c r="V1388" s="283">
        <f t="shared" ref="V1388:V1398" si="192">V1371</f>
        <v>325</v>
      </c>
      <c r="W1388" s="744" t="s">
        <v>913</v>
      </c>
      <c r="X1388" s="283">
        <f t="shared" ref="X1388:X1398" si="193">V1388*S1388</f>
        <v>2135.25</v>
      </c>
      <c r="Y1388" s="783">
        <v>0.52</v>
      </c>
      <c r="Z1388" s="283" t="s">
        <v>913</v>
      </c>
      <c r="AA1388" s="374" t="s">
        <v>1854</v>
      </c>
      <c r="AB1388" s="283">
        <f t="shared" si="191"/>
        <v>325</v>
      </c>
      <c r="AC1388" s="283" t="s">
        <v>913</v>
      </c>
      <c r="AD1388" s="283">
        <f t="shared" si="190"/>
        <v>169</v>
      </c>
      <c r="AE1388" s="283">
        <f t="shared" si="179"/>
        <v>0</v>
      </c>
    </row>
    <row r="1389" spans="6:31" ht="24" customHeight="1">
      <c r="K1389" s="748" t="s">
        <v>2055</v>
      </c>
      <c r="O1389" s="374" t="s">
        <v>552</v>
      </c>
      <c r="Q1389" s="744"/>
      <c r="R1389" s="283">
        <f>(R1387/10)</f>
        <v>2465.7199999999998</v>
      </c>
      <c r="S1389" s="746">
        <v>11.56</v>
      </c>
      <c r="T1389" s="283" t="s">
        <v>913</v>
      </c>
      <c r="U1389" s="374" t="s">
        <v>1854</v>
      </c>
      <c r="V1389" s="283">
        <f t="shared" si="192"/>
        <v>325</v>
      </c>
      <c r="W1389" s="744" t="s">
        <v>913</v>
      </c>
      <c r="X1389" s="283">
        <f t="shared" si="193"/>
        <v>3757</v>
      </c>
      <c r="Y1389" s="783">
        <v>0.53300000000000003</v>
      </c>
      <c r="Z1389" s="283" t="s">
        <v>233</v>
      </c>
      <c r="AA1389" s="374" t="s">
        <v>1855</v>
      </c>
      <c r="AB1389" s="283">
        <f t="shared" si="191"/>
        <v>306.89999999999998</v>
      </c>
      <c r="AC1389" s="283" t="s">
        <v>233</v>
      </c>
      <c r="AD1389" s="283">
        <f t="shared" si="190"/>
        <v>163.58000000000001</v>
      </c>
      <c r="AE1389" s="283">
        <f t="shared" si="179"/>
        <v>0</v>
      </c>
    </row>
    <row r="1390" spans="6:31" ht="24" customHeight="1">
      <c r="K1390" s="748"/>
      <c r="Q1390" s="744"/>
      <c r="R1390" s="748" t="s">
        <v>2055</v>
      </c>
      <c r="S1390" s="746">
        <v>2.0099999999999998</v>
      </c>
      <c r="T1390" s="283" t="s">
        <v>913</v>
      </c>
      <c r="U1390" s="374" t="s">
        <v>1854</v>
      </c>
      <c r="V1390" s="283">
        <f t="shared" si="192"/>
        <v>325</v>
      </c>
      <c r="W1390" s="744" t="s">
        <v>913</v>
      </c>
      <c r="X1390" s="283">
        <f t="shared" si="193"/>
        <v>653.25</v>
      </c>
      <c r="Y1390" s="783">
        <v>4.1959999999999997</v>
      </c>
      <c r="Z1390" s="283" t="s">
        <v>826</v>
      </c>
      <c r="AA1390" s="374" t="s">
        <v>1856</v>
      </c>
      <c r="AB1390" s="283">
        <f t="shared" si="191"/>
        <v>29.05</v>
      </c>
      <c r="AC1390" s="283" t="s">
        <v>826</v>
      </c>
      <c r="AD1390" s="283">
        <f t="shared" si="190"/>
        <v>121.89</v>
      </c>
      <c r="AE1390" s="283">
        <f t="shared" si="179"/>
        <v>0</v>
      </c>
    </row>
    <row r="1391" spans="6:31" ht="24" customHeight="1">
      <c r="F1391" s="744" t="s">
        <v>1296</v>
      </c>
      <c r="G1391" s="283" t="s">
        <v>2251</v>
      </c>
      <c r="H1391" s="374" t="s">
        <v>4</v>
      </c>
      <c r="O1391" s="753" t="s">
        <v>3479</v>
      </c>
      <c r="Q1391" s="374"/>
      <c r="S1391" s="746">
        <v>1.96</v>
      </c>
      <c r="T1391" s="283" t="s">
        <v>233</v>
      </c>
      <c r="U1391" s="374" t="s">
        <v>1855</v>
      </c>
      <c r="V1391" s="283">
        <f t="shared" si="192"/>
        <v>306.89999999999998</v>
      </c>
      <c r="W1391" s="744" t="s">
        <v>233</v>
      </c>
      <c r="X1391" s="283">
        <f t="shared" si="193"/>
        <v>601.52</v>
      </c>
      <c r="Y1391" s="783">
        <v>4</v>
      </c>
      <c r="Z1391" s="283" t="s">
        <v>769</v>
      </c>
      <c r="AA1391" s="374" t="s">
        <v>1857</v>
      </c>
      <c r="AB1391" s="283">
        <f t="shared" si="191"/>
        <v>71.900000000000006</v>
      </c>
      <c r="AC1391" s="283" t="s">
        <v>769</v>
      </c>
      <c r="AD1391" s="283">
        <f t="shared" si="190"/>
        <v>287.60000000000002</v>
      </c>
      <c r="AE1391" s="283">
        <f t="shared" si="179"/>
        <v>0</v>
      </c>
    </row>
    <row r="1392" spans="6:31" ht="24" customHeight="1">
      <c r="H1392" s="748" t="s">
        <v>1586</v>
      </c>
      <c r="M1392" s="783">
        <v>4.1849999999999996</v>
      </c>
      <c r="N1392" s="283" t="s">
        <v>913</v>
      </c>
      <c r="O1392" s="374" t="s">
        <v>5319</v>
      </c>
      <c r="P1392" s="283">
        <v>325</v>
      </c>
      <c r="Q1392" s="283" t="s">
        <v>913</v>
      </c>
      <c r="R1392" s="283">
        <f>P1392*M1392</f>
        <v>1360.13</v>
      </c>
      <c r="S1392" s="746">
        <v>16.224</v>
      </c>
      <c r="T1392" s="283" t="s">
        <v>826</v>
      </c>
      <c r="U1392" s="374" t="s">
        <v>1856</v>
      </c>
      <c r="V1392" s="283">
        <f t="shared" si="192"/>
        <v>29.05</v>
      </c>
      <c r="W1392" s="744" t="s">
        <v>826</v>
      </c>
      <c r="X1392" s="283">
        <f t="shared" si="193"/>
        <v>471.31</v>
      </c>
      <c r="Y1392" s="783">
        <v>2</v>
      </c>
      <c r="Z1392" s="283" t="s">
        <v>769</v>
      </c>
      <c r="AA1392" s="374" t="s">
        <v>1858</v>
      </c>
      <c r="AB1392" s="283">
        <f t="shared" si="191"/>
        <v>57.65</v>
      </c>
      <c r="AC1392" s="283" t="s">
        <v>769</v>
      </c>
      <c r="AD1392" s="283">
        <f t="shared" si="190"/>
        <v>115.3</v>
      </c>
      <c r="AE1392" s="283">
        <f t="shared" si="179"/>
        <v>0</v>
      </c>
    </row>
    <row r="1393" spans="6:31" ht="24" customHeight="1">
      <c r="F1393" s="283">
        <v>0.14000000000000001</v>
      </c>
      <c r="G1393" s="283" t="s">
        <v>869</v>
      </c>
      <c r="H1393" s="374" t="s">
        <v>1625</v>
      </c>
      <c r="I1393" s="283">
        <f>(K49)</f>
        <v>3929.58</v>
      </c>
      <c r="J1393" s="374" t="s">
        <v>869</v>
      </c>
      <c r="K1393" s="283">
        <f>(F1393*I1393)</f>
        <v>550.14</v>
      </c>
      <c r="M1393" s="783">
        <v>4.55</v>
      </c>
      <c r="N1393" s="283" t="s">
        <v>913</v>
      </c>
      <c r="O1393" s="374" t="s">
        <v>1854</v>
      </c>
      <c r="P1393" s="283">
        <f>P1392</f>
        <v>325</v>
      </c>
      <c r="Q1393" s="283" t="s">
        <v>913</v>
      </c>
      <c r="R1393" s="283">
        <f t="shared" ref="R1393:R1403" si="194">P1393*M1393</f>
        <v>1478.75</v>
      </c>
      <c r="S1393" s="746">
        <v>16</v>
      </c>
      <c r="T1393" s="283" t="s">
        <v>769</v>
      </c>
      <c r="U1393" s="374" t="s">
        <v>1857</v>
      </c>
      <c r="V1393" s="283">
        <f t="shared" si="192"/>
        <v>71.900000000000006</v>
      </c>
      <c r="W1393" s="744" t="s">
        <v>769</v>
      </c>
      <c r="X1393" s="283">
        <f t="shared" si="193"/>
        <v>1150.4000000000001</v>
      </c>
      <c r="Y1393" s="783">
        <v>2</v>
      </c>
      <c r="Z1393" s="283" t="s">
        <v>769</v>
      </c>
      <c r="AA1393" s="374" t="s">
        <v>1859</v>
      </c>
      <c r="AB1393" s="283">
        <f t="shared" si="191"/>
        <v>30</v>
      </c>
      <c r="AC1393" s="283" t="s">
        <v>769</v>
      </c>
      <c r="AD1393" s="283">
        <f t="shared" si="190"/>
        <v>60</v>
      </c>
      <c r="AE1393" s="283">
        <f t="shared" si="179"/>
        <v>0</v>
      </c>
    </row>
    <row r="1394" spans="6:31" ht="24" customHeight="1">
      <c r="F1394" s="283">
        <v>1.1000000000000001</v>
      </c>
      <c r="G1394" s="283" t="s">
        <v>868</v>
      </c>
      <c r="H1394" s="374" t="s">
        <v>2009</v>
      </c>
      <c r="I1394" s="283">
        <f>(C10)</f>
        <v>999</v>
      </c>
      <c r="J1394" s="374" t="s">
        <v>868</v>
      </c>
      <c r="K1394" s="283">
        <f>(F1394*I1394)</f>
        <v>1098.9000000000001</v>
      </c>
      <c r="M1394" s="783">
        <v>8.66</v>
      </c>
      <c r="N1394" s="283" t="s">
        <v>913</v>
      </c>
      <c r="O1394" s="374" t="s">
        <v>1854</v>
      </c>
      <c r="P1394" s="283">
        <f>P1392</f>
        <v>325</v>
      </c>
      <c r="Q1394" s="283" t="s">
        <v>913</v>
      </c>
      <c r="R1394" s="283">
        <f t="shared" si="194"/>
        <v>2814.5</v>
      </c>
      <c r="S1394" s="746">
        <v>8</v>
      </c>
      <c r="T1394" s="283" t="s">
        <v>769</v>
      </c>
      <c r="U1394" s="374" t="s">
        <v>1858</v>
      </c>
      <c r="V1394" s="283">
        <f t="shared" si="192"/>
        <v>57.65</v>
      </c>
      <c r="W1394" s="744" t="s">
        <v>769</v>
      </c>
      <c r="X1394" s="283">
        <f t="shared" si="193"/>
        <v>461.2</v>
      </c>
      <c r="Y1394" s="783">
        <v>2</v>
      </c>
      <c r="Z1394" s="283" t="s">
        <v>769</v>
      </c>
      <c r="AA1394" s="374" t="s">
        <v>1860</v>
      </c>
      <c r="AB1394" s="283">
        <f t="shared" si="191"/>
        <v>20</v>
      </c>
      <c r="AC1394" s="283" t="s">
        <v>769</v>
      </c>
      <c r="AD1394" s="283">
        <f t="shared" si="190"/>
        <v>40</v>
      </c>
      <c r="AE1394" s="283">
        <f t="shared" si="179"/>
        <v>0</v>
      </c>
    </row>
    <row r="1395" spans="6:31" ht="24" customHeight="1">
      <c r="F1395" s="283">
        <v>0.5</v>
      </c>
      <c r="G1395" s="283" t="s">
        <v>868</v>
      </c>
      <c r="H1395" s="374" t="s">
        <v>1902</v>
      </c>
      <c r="I1395" s="283">
        <f>(C12)</f>
        <v>651</v>
      </c>
      <c r="J1395" s="374" t="s">
        <v>868</v>
      </c>
      <c r="K1395" s="283">
        <f>(F1395*I1395)</f>
        <v>325.5</v>
      </c>
      <c r="M1395" s="783">
        <v>1.51</v>
      </c>
      <c r="N1395" s="283" t="s">
        <v>913</v>
      </c>
      <c r="O1395" s="374" t="s">
        <v>1854</v>
      </c>
      <c r="P1395" s="283">
        <f>P1392</f>
        <v>325</v>
      </c>
      <c r="Q1395" s="283" t="s">
        <v>913</v>
      </c>
      <c r="R1395" s="283">
        <f t="shared" si="194"/>
        <v>490.75</v>
      </c>
      <c r="S1395" s="746">
        <v>8</v>
      </c>
      <c r="T1395" s="283" t="s">
        <v>769</v>
      </c>
      <c r="U1395" s="374" t="s">
        <v>1859</v>
      </c>
      <c r="V1395" s="283">
        <f t="shared" si="192"/>
        <v>30</v>
      </c>
      <c r="W1395" s="744" t="s">
        <v>769</v>
      </c>
      <c r="X1395" s="283">
        <f t="shared" si="193"/>
        <v>240</v>
      </c>
      <c r="Y1395" s="783">
        <v>4</v>
      </c>
      <c r="Z1395" s="283" t="s">
        <v>769</v>
      </c>
      <c r="AA1395" s="374" t="s">
        <v>1861</v>
      </c>
      <c r="AB1395" s="283">
        <f t="shared" si="191"/>
        <v>15</v>
      </c>
      <c r="AC1395" s="283" t="s">
        <v>769</v>
      </c>
      <c r="AD1395" s="283">
        <f t="shared" si="190"/>
        <v>60</v>
      </c>
      <c r="AE1395" s="283">
        <f t="shared" si="179"/>
        <v>0</v>
      </c>
    </row>
    <row r="1396" spans="6:31" ht="24" customHeight="1">
      <c r="F1396" s="283">
        <v>1.1000000000000001</v>
      </c>
      <c r="G1396" s="283" t="s">
        <v>868</v>
      </c>
      <c r="H1396" s="374" t="s">
        <v>320</v>
      </c>
      <c r="I1396" s="283">
        <f>(C13)</f>
        <v>534</v>
      </c>
      <c r="J1396" s="374" t="s">
        <v>868</v>
      </c>
      <c r="K1396" s="283">
        <f>(F1396*I1396)</f>
        <v>587.4</v>
      </c>
      <c r="M1396" s="783">
        <v>1.462</v>
      </c>
      <c r="N1396" s="283" t="s">
        <v>233</v>
      </c>
      <c r="O1396" s="374" t="s">
        <v>1855</v>
      </c>
      <c r="P1396" s="283">
        <v>306.89999999999998</v>
      </c>
      <c r="Q1396" s="283" t="s">
        <v>233</v>
      </c>
      <c r="R1396" s="283">
        <f t="shared" si="194"/>
        <v>448.69</v>
      </c>
      <c r="S1396" s="746">
        <v>8</v>
      </c>
      <c r="T1396" s="283" t="s">
        <v>769</v>
      </c>
      <c r="U1396" s="374" t="s">
        <v>1860</v>
      </c>
      <c r="V1396" s="283">
        <f t="shared" si="192"/>
        <v>20</v>
      </c>
      <c r="W1396" s="744" t="s">
        <v>769</v>
      </c>
      <c r="X1396" s="283">
        <f t="shared" si="193"/>
        <v>160</v>
      </c>
      <c r="Y1396" s="783">
        <v>0.67500000000000004</v>
      </c>
      <c r="Z1396" s="283" t="s">
        <v>2283</v>
      </c>
      <c r="AA1396" s="374" t="s">
        <v>1862</v>
      </c>
      <c r="AB1396" s="283">
        <f t="shared" si="191"/>
        <v>1998</v>
      </c>
      <c r="AC1396" s="283" t="s">
        <v>2283</v>
      </c>
      <c r="AD1396" s="283">
        <f t="shared" si="190"/>
        <v>1348.65</v>
      </c>
      <c r="AE1396" s="283">
        <f t="shared" si="179"/>
        <v>0</v>
      </c>
    </row>
    <row r="1397" spans="6:31" ht="24" customHeight="1">
      <c r="G1397" s="283" t="s">
        <v>449</v>
      </c>
      <c r="H1397" s="374" t="s">
        <v>450</v>
      </c>
      <c r="I1397" s="374" t="s">
        <v>975</v>
      </c>
      <c r="J1397" s="374" t="s">
        <v>449</v>
      </c>
      <c r="K1397" s="283">
        <v>5</v>
      </c>
      <c r="M1397" s="783">
        <v>12.144</v>
      </c>
      <c r="N1397" s="283" t="s">
        <v>826</v>
      </c>
      <c r="O1397" s="374" t="s">
        <v>4602</v>
      </c>
      <c r="P1397" s="283">
        <v>29.05</v>
      </c>
      <c r="Q1397" s="283" t="s">
        <v>826</v>
      </c>
      <c r="R1397" s="283">
        <f t="shared" si="194"/>
        <v>352.78</v>
      </c>
      <c r="S1397" s="746">
        <v>4</v>
      </c>
      <c r="T1397" s="283" t="s">
        <v>769</v>
      </c>
      <c r="U1397" s="374" t="s">
        <v>1861</v>
      </c>
      <c r="V1397" s="283">
        <f t="shared" si="192"/>
        <v>15</v>
      </c>
      <c r="W1397" s="744" t="s">
        <v>769</v>
      </c>
      <c r="X1397" s="283">
        <f t="shared" si="193"/>
        <v>60</v>
      </c>
      <c r="AA1397" s="374" t="s">
        <v>1863</v>
      </c>
      <c r="AC1397" s="744"/>
      <c r="AD1397" s="283">
        <v>0.39</v>
      </c>
      <c r="AE1397" s="283">
        <f t="shared" si="179"/>
        <v>0</v>
      </c>
    </row>
    <row r="1398" spans="6:31" ht="24" customHeight="1">
      <c r="K1398" s="748" t="s">
        <v>1586</v>
      </c>
      <c r="M1398" s="783">
        <v>12</v>
      </c>
      <c r="N1398" s="283" t="s">
        <v>769</v>
      </c>
      <c r="O1398" s="374" t="s">
        <v>4603</v>
      </c>
      <c r="P1398" s="283">
        <v>71.900000000000006</v>
      </c>
      <c r="Q1398" s="283" t="s">
        <v>769</v>
      </c>
      <c r="R1398" s="283">
        <f t="shared" si="194"/>
        <v>862.8</v>
      </c>
      <c r="S1398" s="746">
        <v>2.4300000000000002</v>
      </c>
      <c r="T1398" s="283" t="s">
        <v>2283</v>
      </c>
      <c r="U1398" s="374" t="s">
        <v>1862</v>
      </c>
      <c r="V1398" s="283">
        <f t="shared" si="192"/>
        <v>1998</v>
      </c>
      <c r="W1398" s="744" t="s">
        <v>2283</v>
      </c>
      <c r="X1398" s="283">
        <f t="shared" si="193"/>
        <v>4855.1400000000003</v>
      </c>
      <c r="AA1398" s="750" t="s">
        <v>3536</v>
      </c>
      <c r="AD1398" s="751">
        <f>SUM(AD1385:AD1397)</f>
        <v>4449.66</v>
      </c>
      <c r="AE1398" s="283">
        <f t="shared" si="179"/>
        <v>0</v>
      </c>
    </row>
    <row r="1399" spans="6:31" ht="24" customHeight="1">
      <c r="H1399" s="374" t="s">
        <v>441</v>
      </c>
      <c r="K1399" s="283">
        <f>SUM(K1393:K1398)</f>
        <v>2566.94</v>
      </c>
      <c r="M1399" s="783">
        <v>6</v>
      </c>
      <c r="N1399" s="283" t="s">
        <v>769</v>
      </c>
      <c r="O1399" s="374" t="s">
        <v>4264</v>
      </c>
      <c r="P1399" s="283">
        <f>P1095</f>
        <v>57.65</v>
      </c>
      <c r="Q1399" s="283" t="s">
        <v>769</v>
      </c>
      <c r="R1399" s="283">
        <f t="shared" si="194"/>
        <v>345.9</v>
      </c>
      <c r="U1399" s="374" t="s">
        <v>1863</v>
      </c>
      <c r="W1399" s="744"/>
      <c r="AE1399" s="283">
        <f t="shared" si="179"/>
        <v>0</v>
      </c>
    </row>
    <row r="1400" spans="6:31" ht="24" customHeight="1">
      <c r="K1400" s="748" t="s">
        <v>1586</v>
      </c>
      <c r="M1400" s="783">
        <v>6</v>
      </c>
      <c r="N1400" s="283" t="s">
        <v>769</v>
      </c>
      <c r="O1400" s="374" t="s">
        <v>3534</v>
      </c>
      <c r="P1400" s="283">
        <v>30</v>
      </c>
      <c r="Q1400" s="283" t="s">
        <v>769</v>
      </c>
      <c r="R1400" s="283">
        <f t="shared" si="194"/>
        <v>180</v>
      </c>
      <c r="U1400" s="750" t="s">
        <v>3536</v>
      </c>
      <c r="W1400" s="744"/>
      <c r="X1400" s="751">
        <f>SUM(X1387:X1399)</f>
        <v>16131.07</v>
      </c>
      <c r="AA1400" s="753" t="s">
        <v>3482</v>
      </c>
      <c r="AC1400" s="374"/>
      <c r="AE1400" s="283">
        <f t="shared" si="179"/>
        <v>0</v>
      </c>
    </row>
    <row r="1401" spans="6:31" ht="24" customHeight="1">
      <c r="H1401" s="757" t="s">
        <v>552</v>
      </c>
      <c r="K1401" s="751">
        <f>(K1399/10)</f>
        <v>256.69</v>
      </c>
      <c r="M1401" s="783">
        <v>6</v>
      </c>
      <c r="N1401" s="283" t="s">
        <v>769</v>
      </c>
      <c r="O1401" s="374" t="s">
        <v>1860</v>
      </c>
      <c r="P1401" s="283">
        <v>20</v>
      </c>
      <c r="Q1401" s="283" t="s">
        <v>769</v>
      </c>
      <c r="R1401" s="283">
        <f t="shared" si="194"/>
        <v>120</v>
      </c>
      <c r="W1401" s="744"/>
      <c r="Y1401" s="783">
        <v>2.33</v>
      </c>
      <c r="Z1401" s="283" t="s">
        <v>913</v>
      </c>
      <c r="AA1401" s="374" t="s">
        <v>1854</v>
      </c>
      <c r="AB1401" s="283">
        <f t="shared" ref="AB1401:AB1412" si="195">V1403</f>
        <v>325</v>
      </c>
      <c r="AC1401" s="283" t="s">
        <v>913</v>
      </c>
      <c r="AD1401" s="283">
        <f t="shared" ref="AD1401:AD1412" si="196">AB1401*Y1401</f>
        <v>757.25</v>
      </c>
      <c r="AE1401" s="283">
        <f t="shared" si="179"/>
        <v>0</v>
      </c>
    </row>
    <row r="1402" spans="6:31" ht="24" customHeight="1">
      <c r="F1402" s="374" t="s">
        <v>975</v>
      </c>
      <c r="M1402" s="783">
        <v>4</v>
      </c>
      <c r="N1402" s="283" t="s">
        <v>769</v>
      </c>
      <c r="O1402" s="374" t="s">
        <v>1861</v>
      </c>
      <c r="P1402" s="283">
        <v>15</v>
      </c>
      <c r="Q1402" s="283" t="s">
        <v>769</v>
      </c>
      <c r="R1402" s="283">
        <f t="shared" si="194"/>
        <v>60</v>
      </c>
      <c r="U1402" s="753" t="s">
        <v>3483</v>
      </c>
      <c r="W1402" s="744"/>
      <c r="Y1402" s="783">
        <v>0.67</v>
      </c>
      <c r="Z1402" s="283" t="s">
        <v>913</v>
      </c>
      <c r="AA1402" s="374" t="s">
        <v>1854</v>
      </c>
      <c r="AB1402" s="283">
        <f t="shared" si="195"/>
        <v>325</v>
      </c>
      <c r="AC1402" s="283" t="s">
        <v>913</v>
      </c>
      <c r="AD1402" s="283">
        <f t="shared" si="196"/>
        <v>217.75</v>
      </c>
      <c r="AE1402" s="283">
        <f t="shared" si="179"/>
        <v>0</v>
      </c>
    </row>
    <row r="1403" spans="6:31" ht="24" customHeight="1">
      <c r="K1403" s="748" t="s">
        <v>2055</v>
      </c>
      <c r="M1403" s="783">
        <v>1.823</v>
      </c>
      <c r="N1403" s="283" t="s">
        <v>2283</v>
      </c>
      <c r="O1403" s="374" t="s">
        <v>1862</v>
      </c>
      <c r="P1403" s="283">
        <f>ROUND(AE17+AE11+(AE20*0.5),2)</f>
        <v>1998</v>
      </c>
      <c r="Q1403" s="283" t="s">
        <v>2283</v>
      </c>
      <c r="R1403" s="283">
        <f t="shared" si="194"/>
        <v>3642.35</v>
      </c>
      <c r="S1403" s="746">
        <f>8*0.775</f>
        <v>6.2</v>
      </c>
      <c r="T1403" s="283" t="s">
        <v>913</v>
      </c>
      <c r="U1403" s="374" t="s">
        <v>1854</v>
      </c>
      <c r="V1403" s="283">
        <f>V1387</f>
        <v>325</v>
      </c>
      <c r="W1403" s="744" t="s">
        <v>913</v>
      </c>
      <c r="X1403" s="283">
        <f>V1403*S1403</f>
        <v>2015</v>
      </c>
      <c r="Y1403" s="783">
        <v>2.65</v>
      </c>
      <c r="Z1403" s="283" t="s">
        <v>913</v>
      </c>
      <c r="AA1403" s="374" t="s">
        <v>1854</v>
      </c>
      <c r="AB1403" s="283">
        <f t="shared" si="195"/>
        <v>325</v>
      </c>
      <c r="AC1403" s="283" t="s">
        <v>913</v>
      </c>
      <c r="AD1403" s="283">
        <f t="shared" si="196"/>
        <v>861.25</v>
      </c>
      <c r="AE1403" s="283">
        <f t="shared" si="179"/>
        <v>0</v>
      </c>
    </row>
    <row r="1404" spans="6:31" ht="24" customHeight="1">
      <c r="F1404" s="744" t="s">
        <v>5</v>
      </c>
      <c r="G1404" s="283" t="s">
        <v>2251</v>
      </c>
      <c r="H1404" s="374" t="s">
        <v>6</v>
      </c>
      <c r="O1404" s="374" t="s">
        <v>1863</v>
      </c>
      <c r="Q1404" s="744"/>
      <c r="R1404" s="283">
        <v>0.51</v>
      </c>
      <c r="S1404" s="746">
        <f>8.4*1.123</f>
        <v>9.4329999999999998</v>
      </c>
      <c r="T1404" s="283" t="s">
        <v>913</v>
      </c>
      <c r="U1404" s="374" t="s">
        <v>1854</v>
      </c>
      <c r="V1404" s="283">
        <f t="shared" ref="V1404:V1414" si="197">V1388</f>
        <v>325</v>
      </c>
      <c r="W1404" s="744" t="s">
        <v>913</v>
      </c>
      <c r="X1404" s="283">
        <f t="shared" ref="X1404:X1414" si="198">V1404*S1404</f>
        <v>3065.73</v>
      </c>
      <c r="Y1404" s="783">
        <v>0.46</v>
      </c>
      <c r="Z1404" s="283" t="s">
        <v>913</v>
      </c>
      <c r="AA1404" s="374" t="s">
        <v>1854</v>
      </c>
      <c r="AB1404" s="283">
        <f t="shared" si="195"/>
        <v>325</v>
      </c>
      <c r="AC1404" s="283" t="s">
        <v>913</v>
      </c>
      <c r="AD1404" s="283">
        <f t="shared" si="196"/>
        <v>149.5</v>
      </c>
      <c r="AE1404" s="283">
        <f t="shared" si="179"/>
        <v>0</v>
      </c>
    </row>
    <row r="1405" spans="6:31" ht="24" customHeight="1">
      <c r="H1405" s="748" t="s">
        <v>1586</v>
      </c>
      <c r="L1405" s="283">
        <f>5.85*1.123</f>
        <v>6.57</v>
      </c>
      <c r="R1405" s="751">
        <f>SUM(R1392:R1404)</f>
        <v>12157.16</v>
      </c>
      <c r="S1405" s="746">
        <f>24.24*0.663</f>
        <v>16.071000000000002</v>
      </c>
      <c r="T1405" s="283" t="s">
        <v>913</v>
      </c>
      <c r="U1405" s="374" t="s">
        <v>1854</v>
      </c>
      <c r="V1405" s="283">
        <f t="shared" si="197"/>
        <v>325</v>
      </c>
      <c r="W1405" s="744" t="s">
        <v>913</v>
      </c>
      <c r="X1405" s="283">
        <f t="shared" si="198"/>
        <v>5223.08</v>
      </c>
      <c r="Y1405" s="783">
        <v>0.41699999999999998</v>
      </c>
      <c r="Z1405" s="283" t="s">
        <v>233</v>
      </c>
      <c r="AA1405" s="374" t="s">
        <v>1855</v>
      </c>
      <c r="AB1405" s="283">
        <f t="shared" si="195"/>
        <v>306.89999999999998</v>
      </c>
      <c r="AC1405" s="283" t="s">
        <v>233</v>
      </c>
      <c r="AD1405" s="283">
        <f t="shared" si="196"/>
        <v>127.98</v>
      </c>
      <c r="AE1405" s="283">
        <f t="shared" si="179"/>
        <v>0</v>
      </c>
    </row>
    <row r="1406" spans="6:31" ht="24" customHeight="1">
      <c r="F1406" s="283">
        <v>0.14000000000000001</v>
      </c>
      <c r="G1406" s="283" t="s">
        <v>869</v>
      </c>
      <c r="H1406" s="374" t="s">
        <v>1307</v>
      </c>
      <c r="I1406" s="283">
        <f>(K40)</f>
        <v>4364.46</v>
      </c>
      <c r="J1406" s="374" t="s">
        <v>869</v>
      </c>
      <c r="K1406" s="283">
        <f>(F1406*I1406)</f>
        <v>611.02</v>
      </c>
      <c r="S1406" s="746">
        <f>23.02*0.124</f>
        <v>2.8540000000000001</v>
      </c>
      <c r="T1406" s="283" t="s">
        <v>913</v>
      </c>
      <c r="U1406" s="374" t="s">
        <v>1854</v>
      </c>
      <c r="V1406" s="283">
        <f t="shared" si="197"/>
        <v>325</v>
      </c>
      <c r="W1406" s="744" t="s">
        <v>913</v>
      </c>
      <c r="X1406" s="283">
        <f t="shared" si="198"/>
        <v>927.55</v>
      </c>
      <c r="Y1406" s="783">
        <v>3.6960000000000002</v>
      </c>
      <c r="Z1406" s="283" t="s">
        <v>826</v>
      </c>
      <c r="AA1406" s="374" t="s">
        <v>1856</v>
      </c>
      <c r="AB1406" s="283">
        <f t="shared" si="195"/>
        <v>29.05</v>
      </c>
      <c r="AC1406" s="283" t="s">
        <v>826</v>
      </c>
      <c r="AD1406" s="283">
        <f t="shared" si="196"/>
        <v>107.37</v>
      </c>
      <c r="AE1406" s="283">
        <f t="shared" si="179"/>
        <v>0</v>
      </c>
    </row>
    <row r="1407" spans="6:31" ht="24" customHeight="1">
      <c r="F1407" s="283">
        <v>1.1000000000000001</v>
      </c>
      <c r="G1407" s="283" t="s">
        <v>868</v>
      </c>
      <c r="H1407" s="374" t="s">
        <v>2009</v>
      </c>
      <c r="I1407" s="283">
        <f>(C10)</f>
        <v>999</v>
      </c>
      <c r="J1407" s="374" t="s">
        <v>868</v>
      </c>
      <c r="K1407" s="283">
        <f>(F1407*I1407)</f>
        <v>1098.9000000000001</v>
      </c>
      <c r="S1407" s="746">
        <f>3.31</f>
        <v>3.31</v>
      </c>
      <c r="T1407" s="283" t="s">
        <v>233</v>
      </c>
      <c r="U1407" s="374" t="s">
        <v>1855</v>
      </c>
      <c r="V1407" s="283">
        <f t="shared" si="197"/>
        <v>306.89999999999998</v>
      </c>
      <c r="W1407" s="744" t="s">
        <v>233</v>
      </c>
      <c r="X1407" s="283">
        <f t="shared" si="198"/>
        <v>1015.84</v>
      </c>
      <c r="Y1407" s="783">
        <v>4</v>
      </c>
      <c r="Z1407" s="283" t="s">
        <v>769</v>
      </c>
      <c r="AA1407" s="374" t="s">
        <v>1857</v>
      </c>
      <c r="AB1407" s="283">
        <f t="shared" si="195"/>
        <v>71.900000000000006</v>
      </c>
      <c r="AC1407" s="283" t="s">
        <v>769</v>
      </c>
      <c r="AD1407" s="283">
        <f t="shared" si="196"/>
        <v>287.60000000000002</v>
      </c>
      <c r="AE1407" s="283">
        <f t="shared" ref="AE1407:AE1470" si="199">AG1407</f>
        <v>0</v>
      </c>
    </row>
    <row r="1408" spans="6:31" ht="24" customHeight="1">
      <c r="F1408" s="283">
        <v>0.5</v>
      </c>
      <c r="G1408" s="283" t="s">
        <v>868</v>
      </c>
      <c r="H1408" s="374" t="s">
        <v>1902</v>
      </c>
      <c r="I1408" s="283">
        <f>(C12)</f>
        <v>651</v>
      </c>
      <c r="J1408" s="374" t="s">
        <v>868</v>
      </c>
      <c r="K1408" s="283">
        <f>(F1408*I1408)</f>
        <v>325.5</v>
      </c>
      <c r="O1408" s="753" t="s">
        <v>3474</v>
      </c>
      <c r="Q1408" s="374"/>
      <c r="S1408" s="746">
        <v>23.02</v>
      </c>
      <c r="T1408" s="283" t="s">
        <v>826</v>
      </c>
      <c r="U1408" s="374" t="s">
        <v>1856</v>
      </c>
      <c r="V1408" s="283">
        <f t="shared" si="197"/>
        <v>29.05</v>
      </c>
      <c r="W1408" s="744" t="s">
        <v>826</v>
      </c>
      <c r="X1408" s="283">
        <f t="shared" si="198"/>
        <v>668.73</v>
      </c>
      <c r="Y1408" s="783">
        <v>2</v>
      </c>
      <c r="Z1408" s="283" t="s">
        <v>769</v>
      </c>
      <c r="AA1408" s="374" t="s">
        <v>1858</v>
      </c>
      <c r="AB1408" s="283">
        <f t="shared" si="195"/>
        <v>57.65</v>
      </c>
      <c r="AC1408" s="283" t="s">
        <v>769</v>
      </c>
      <c r="AD1408" s="283">
        <f t="shared" si="196"/>
        <v>115.3</v>
      </c>
      <c r="AE1408" s="283">
        <f t="shared" si="199"/>
        <v>0</v>
      </c>
    </row>
    <row r="1409" spans="6:31" ht="24" customHeight="1">
      <c r="F1409" s="283">
        <v>1.1000000000000001</v>
      </c>
      <c r="G1409" s="283" t="s">
        <v>868</v>
      </c>
      <c r="H1409" s="374" t="s">
        <v>320</v>
      </c>
      <c r="I1409" s="283">
        <f>(C13)</f>
        <v>534</v>
      </c>
      <c r="J1409" s="374" t="s">
        <v>868</v>
      </c>
      <c r="K1409" s="283">
        <f>(F1409*I1409)</f>
        <v>587.4</v>
      </c>
      <c r="M1409" s="783">
        <v>3.95</v>
      </c>
      <c r="N1409" s="283" t="s">
        <v>913</v>
      </c>
      <c r="O1409" s="374" t="s">
        <v>4262</v>
      </c>
      <c r="P1409" s="283">
        <f>P1392</f>
        <v>325</v>
      </c>
      <c r="Q1409" s="283" t="s">
        <v>913</v>
      </c>
      <c r="R1409" s="283">
        <f>P1409*M1409</f>
        <v>1283.75</v>
      </c>
      <c r="S1409" s="746">
        <v>16</v>
      </c>
      <c r="T1409" s="283" t="s">
        <v>769</v>
      </c>
      <c r="U1409" s="374" t="s">
        <v>1857</v>
      </c>
      <c r="V1409" s="283">
        <f t="shared" si="197"/>
        <v>71.900000000000006</v>
      </c>
      <c r="W1409" s="744" t="s">
        <v>769</v>
      </c>
      <c r="X1409" s="283">
        <f t="shared" si="198"/>
        <v>1150.4000000000001</v>
      </c>
      <c r="Y1409" s="783">
        <v>2</v>
      </c>
      <c r="Z1409" s="283" t="s">
        <v>769</v>
      </c>
      <c r="AA1409" s="374" t="s">
        <v>1859</v>
      </c>
      <c r="AB1409" s="283">
        <f t="shared" si="195"/>
        <v>30</v>
      </c>
      <c r="AC1409" s="283" t="s">
        <v>769</v>
      </c>
      <c r="AD1409" s="283">
        <f t="shared" si="196"/>
        <v>60</v>
      </c>
      <c r="AE1409" s="283">
        <f t="shared" si="199"/>
        <v>0</v>
      </c>
    </row>
    <row r="1410" spans="6:31" ht="24" customHeight="1">
      <c r="G1410" s="283" t="s">
        <v>449</v>
      </c>
      <c r="H1410" s="374" t="s">
        <v>450</v>
      </c>
      <c r="I1410" s="374" t="s">
        <v>975</v>
      </c>
      <c r="J1410" s="374" t="s">
        <v>449</v>
      </c>
      <c r="K1410" s="283">
        <v>5</v>
      </c>
      <c r="M1410" s="783">
        <v>2.86</v>
      </c>
      <c r="N1410" s="283" t="s">
        <v>913</v>
      </c>
      <c r="O1410" s="374" t="s">
        <v>1854</v>
      </c>
      <c r="P1410" s="283">
        <f t="shared" ref="P1410:P1420" si="200">P1393</f>
        <v>325</v>
      </c>
      <c r="Q1410" s="283" t="s">
        <v>913</v>
      </c>
      <c r="R1410" s="283">
        <f t="shared" ref="R1410:R1420" si="201">P1410*M1410</f>
        <v>929.5</v>
      </c>
      <c r="S1410" s="746">
        <v>8</v>
      </c>
      <c r="T1410" s="283" t="s">
        <v>769</v>
      </c>
      <c r="U1410" s="374" t="s">
        <v>1858</v>
      </c>
      <c r="V1410" s="283">
        <f t="shared" si="197"/>
        <v>57.65</v>
      </c>
      <c r="W1410" s="744" t="s">
        <v>769</v>
      </c>
      <c r="X1410" s="283">
        <f t="shared" si="198"/>
        <v>461.2</v>
      </c>
      <c r="Y1410" s="783">
        <v>2</v>
      </c>
      <c r="Z1410" s="283" t="s">
        <v>769</v>
      </c>
      <c r="AA1410" s="374" t="s">
        <v>1860</v>
      </c>
      <c r="AB1410" s="283">
        <f t="shared" si="195"/>
        <v>20</v>
      </c>
      <c r="AC1410" s="283" t="s">
        <v>769</v>
      </c>
      <c r="AD1410" s="283">
        <f t="shared" si="196"/>
        <v>40</v>
      </c>
      <c r="AE1410" s="283">
        <f t="shared" si="199"/>
        <v>0</v>
      </c>
    </row>
    <row r="1411" spans="6:31" ht="24" customHeight="1">
      <c r="H1411" s="374"/>
      <c r="I1411" s="374"/>
      <c r="M1411" s="783">
        <v>6.55</v>
      </c>
      <c r="N1411" s="283" t="s">
        <v>913</v>
      </c>
      <c r="O1411" s="374" t="s">
        <v>1854</v>
      </c>
      <c r="P1411" s="283">
        <f t="shared" si="200"/>
        <v>325</v>
      </c>
      <c r="Q1411" s="283" t="s">
        <v>913</v>
      </c>
      <c r="R1411" s="283">
        <f t="shared" si="201"/>
        <v>2128.75</v>
      </c>
      <c r="S1411" s="746">
        <v>8</v>
      </c>
      <c r="T1411" s="283" t="s">
        <v>769</v>
      </c>
      <c r="U1411" s="374" t="s">
        <v>1859</v>
      </c>
      <c r="V1411" s="283">
        <f t="shared" si="197"/>
        <v>30</v>
      </c>
      <c r="W1411" s="744" t="s">
        <v>769</v>
      </c>
      <c r="X1411" s="283">
        <f t="shared" si="198"/>
        <v>240</v>
      </c>
      <c r="Y1411" s="783">
        <v>2</v>
      </c>
      <c r="Z1411" s="283" t="s">
        <v>769</v>
      </c>
      <c r="AA1411" s="374" t="s">
        <v>1861</v>
      </c>
      <c r="AB1411" s="283">
        <f t="shared" si="195"/>
        <v>15</v>
      </c>
      <c r="AC1411" s="283" t="s">
        <v>769</v>
      </c>
      <c r="AD1411" s="283">
        <f t="shared" si="196"/>
        <v>30</v>
      </c>
      <c r="AE1411" s="283">
        <f t="shared" si="199"/>
        <v>0</v>
      </c>
    </row>
    <row r="1412" spans="6:31" ht="24" customHeight="1">
      <c r="K1412" s="748" t="s">
        <v>1586</v>
      </c>
      <c r="M1412" s="783">
        <v>1.1499999999999999</v>
      </c>
      <c r="N1412" s="283" t="s">
        <v>913</v>
      </c>
      <c r="O1412" s="374" t="s">
        <v>1854</v>
      </c>
      <c r="P1412" s="283">
        <f t="shared" si="200"/>
        <v>325</v>
      </c>
      <c r="Q1412" s="283" t="s">
        <v>913</v>
      </c>
      <c r="R1412" s="283">
        <f t="shared" si="201"/>
        <v>373.75</v>
      </c>
      <c r="S1412" s="746">
        <v>8</v>
      </c>
      <c r="T1412" s="283" t="s">
        <v>769</v>
      </c>
      <c r="U1412" s="374" t="s">
        <v>1860</v>
      </c>
      <c r="V1412" s="283">
        <f t="shared" si="197"/>
        <v>20</v>
      </c>
      <c r="W1412" s="744" t="s">
        <v>769</v>
      </c>
      <c r="X1412" s="283">
        <f t="shared" si="198"/>
        <v>160</v>
      </c>
      <c r="Y1412" s="783">
        <v>0.54</v>
      </c>
      <c r="Z1412" s="283" t="s">
        <v>2283</v>
      </c>
      <c r="AA1412" s="374" t="s">
        <v>1862</v>
      </c>
      <c r="AB1412" s="283">
        <f t="shared" si="195"/>
        <v>1998</v>
      </c>
      <c r="AC1412" s="283" t="s">
        <v>2283</v>
      </c>
      <c r="AD1412" s="283">
        <f t="shared" si="196"/>
        <v>1078.92</v>
      </c>
      <c r="AE1412" s="283">
        <f t="shared" si="199"/>
        <v>0</v>
      </c>
    </row>
    <row r="1413" spans="6:31" ht="24" customHeight="1">
      <c r="H1413" s="374" t="s">
        <v>441</v>
      </c>
      <c r="K1413" s="283">
        <f>SUM(K1406:K1410)</f>
        <v>2627.82</v>
      </c>
      <c r="L1413" s="283">
        <f>SUM(K1434:K1437)</f>
        <v>2724.3</v>
      </c>
      <c r="M1413" s="783">
        <v>1.3380000000000001</v>
      </c>
      <c r="N1413" s="283" t="s">
        <v>233</v>
      </c>
      <c r="O1413" s="374" t="s">
        <v>1855</v>
      </c>
      <c r="P1413" s="283">
        <f t="shared" si="200"/>
        <v>306.89999999999998</v>
      </c>
      <c r="Q1413" s="283" t="s">
        <v>233</v>
      </c>
      <c r="R1413" s="283">
        <f t="shared" si="201"/>
        <v>410.63</v>
      </c>
      <c r="S1413" s="746">
        <v>4</v>
      </c>
      <c r="T1413" s="283" t="s">
        <v>769</v>
      </c>
      <c r="U1413" s="374" t="s">
        <v>1861</v>
      </c>
      <c r="V1413" s="283">
        <f t="shared" si="197"/>
        <v>15</v>
      </c>
      <c r="W1413" s="744" t="s">
        <v>769</v>
      </c>
      <c r="X1413" s="283">
        <f t="shared" si="198"/>
        <v>60</v>
      </c>
      <c r="AA1413" s="374" t="s">
        <v>1863</v>
      </c>
      <c r="AC1413" s="744"/>
      <c r="AD1413" s="283">
        <v>0.7</v>
      </c>
      <c r="AE1413" s="283">
        <f t="shared" si="199"/>
        <v>0</v>
      </c>
    </row>
    <row r="1414" spans="6:31" ht="24" customHeight="1">
      <c r="K1414" s="748" t="s">
        <v>1586</v>
      </c>
      <c r="M1414" s="783">
        <v>9.2720000000000002</v>
      </c>
      <c r="N1414" s="283" t="s">
        <v>826</v>
      </c>
      <c r="O1414" s="374" t="s">
        <v>4265</v>
      </c>
      <c r="P1414" s="283">
        <f t="shared" si="200"/>
        <v>29.05</v>
      </c>
      <c r="Q1414" s="283" t="s">
        <v>826</v>
      </c>
      <c r="R1414" s="283">
        <f t="shared" si="201"/>
        <v>269.35000000000002</v>
      </c>
      <c r="S1414" s="746">
        <v>3.96</v>
      </c>
      <c r="T1414" s="283" t="s">
        <v>2283</v>
      </c>
      <c r="U1414" s="374" t="s">
        <v>1862</v>
      </c>
      <c r="V1414" s="283">
        <f t="shared" si="197"/>
        <v>1998</v>
      </c>
      <c r="W1414" s="744" t="s">
        <v>2283</v>
      </c>
      <c r="X1414" s="283">
        <f t="shared" si="198"/>
        <v>7912.08</v>
      </c>
      <c r="AA1414" s="750" t="s">
        <v>3536</v>
      </c>
      <c r="AD1414" s="751">
        <f>SUM(AD1401:AD1413)</f>
        <v>3833.62</v>
      </c>
      <c r="AE1414" s="283">
        <f t="shared" si="199"/>
        <v>0</v>
      </c>
    </row>
    <row r="1415" spans="6:31" ht="24" customHeight="1">
      <c r="H1415" s="757" t="s">
        <v>552</v>
      </c>
      <c r="K1415" s="751">
        <f>(K1413/10)</f>
        <v>262.77999999999997</v>
      </c>
      <c r="M1415" s="783">
        <v>8</v>
      </c>
      <c r="N1415" s="283" t="s">
        <v>769</v>
      </c>
      <c r="O1415" s="374" t="s">
        <v>4263</v>
      </c>
      <c r="P1415" s="283">
        <f t="shared" si="200"/>
        <v>71.900000000000006</v>
      </c>
      <c r="Q1415" s="283" t="s">
        <v>769</v>
      </c>
      <c r="R1415" s="283">
        <f t="shared" si="201"/>
        <v>575.20000000000005</v>
      </c>
      <c r="U1415" s="374" t="s">
        <v>1863</v>
      </c>
      <c r="W1415" s="744"/>
      <c r="X1415" s="283">
        <v>0.09</v>
      </c>
      <c r="AE1415" s="283">
        <f t="shared" si="199"/>
        <v>0</v>
      </c>
    </row>
    <row r="1416" spans="6:31" ht="24" customHeight="1">
      <c r="K1416" s="748" t="s">
        <v>2055</v>
      </c>
      <c r="M1416" s="783">
        <v>4</v>
      </c>
      <c r="N1416" s="283" t="s">
        <v>769</v>
      </c>
      <c r="O1416" s="374" t="s">
        <v>4264</v>
      </c>
      <c r="P1416" s="283">
        <f t="shared" si="200"/>
        <v>57.65</v>
      </c>
      <c r="Q1416" s="283" t="s">
        <v>769</v>
      </c>
      <c r="R1416" s="283">
        <f t="shared" si="201"/>
        <v>230.6</v>
      </c>
      <c r="U1416" s="750" t="s">
        <v>3536</v>
      </c>
      <c r="W1416" s="744"/>
      <c r="X1416" s="751">
        <f>SUM(X1403:X1415)</f>
        <v>22899.7</v>
      </c>
      <c r="AE1416" s="283">
        <f t="shared" si="199"/>
        <v>0</v>
      </c>
    </row>
    <row r="1417" spans="6:31" ht="24" customHeight="1">
      <c r="F1417" s="744" t="s">
        <v>7</v>
      </c>
      <c r="G1417" s="283" t="s">
        <v>2251</v>
      </c>
      <c r="H1417" s="374" t="s">
        <v>8</v>
      </c>
      <c r="M1417" s="783">
        <v>4</v>
      </c>
      <c r="N1417" s="283" t="s">
        <v>769</v>
      </c>
      <c r="O1417" s="374" t="s">
        <v>1859</v>
      </c>
      <c r="P1417" s="283">
        <f t="shared" si="200"/>
        <v>30</v>
      </c>
      <c r="Q1417" s="283" t="s">
        <v>769</v>
      </c>
      <c r="R1417" s="283">
        <f t="shared" si="201"/>
        <v>120</v>
      </c>
      <c r="W1417" s="744"/>
      <c r="AA1417" s="753" t="s">
        <v>3473</v>
      </c>
      <c r="AC1417" s="374"/>
      <c r="AE1417" s="283">
        <f t="shared" si="199"/>
        <v>0</v>
      </c>
    </row>
    <row r="1418" spans="6:31" ht="24" customHeight="1">
      <c r="H1418" s="748" t="s">
        <v>1586</v>
      </c>
      <c r="M1418" s="783">
        <v>4</v>
      </c>
      <c r="N1418" s="283" t="s">
        <v>769</v>
      </c>
      <c r="O1418" s="374" t="s">
        <v>1860</v>
      </c>
      <c r="P1418" s="283">
        <f t="shared" si="200"/>
        <v>20</v>
      </c>
      <c r="Q1418" s="283" t="s">
        <v>769</v>
      </c>
      <c r="R1418" s="283">
        <f t="shared" si="201"/>
        <v>80</v>
      </c>
      <c r="W1418" s="744"/>
      <c r="Y1418" s="783">
        <f>4.2*0.775</f>
        <v>3.2549999999999999</v>
      </c>
      <c r="Z1418" s="283" t="s">
        <v>913</v>
      </c>
      <c r="AA1418" s="374" t="s">
        <v>1854</v>
      </c>
      <c r="AB1418" s="283">
        <f>AB1401</f>
        <v>325</v>
      </c>
      <c r="AC1418" s="283" t="s">
        <v>913</v>
      </c>
      <c r="AD1418" s="283">
        <f t="shared" ref="AD1418:AD1429" si="202">AB1418*Y1418</f>
        <v>1057.8800000000001</v>
      </c>
      <c r="AE1418" s="283">
        <f t="shared" si="199"/>
        <v>0</v>
      </c>
    </row>
    <row r="1419" spans="6:31" ht="24" customHeight="1">
      <c r="F1419" s="283">
        <v>0.1</v>
      </c>
      <c r="G1419" s="283" t="s">
        <v>869</v>
      </c>
      <c r="H1419" s="374" t="s">
        <v>1353</v>
      </c>
      <c r="I1419" s="283">
        <f>(K32)</f>
        <v>5089.26</v>
      </c>
      <c r="J1419" s="374" t="s">
        <v>869</v>
      </c>
      <c r="K1419" s="283">
        <f>(F1419*I1419)</f>
        <v>508.93</v>
      </c>
      <c r="M1419" s="783">
        <v>4</v>
      </c>
      <c r="N1419" s="283" t="s">
        <v>769</v>
      </c>
      <c r="O1419" s="374" t="s">
        <v>1861</v>
      </c>
      <c r="P1419" s="283">
        <f t="shared" si="200"/>
        <v>15</v>
      </c>
      <c r="Q1419" s="283" t="s">
        <v>769</v>
      </c>
      <c r="R1419" s="283">
        <f t="shared" si="201"/>
        <v>60</v>
      </c>
      <c r="U1419" s="751" t="s">
        <v>3537</v>
      </c>
      <c r="W1419" s="744"/>
      <c r="Y1419" s="783">
        <v>2.3580000000000001</v>
      </c>
      <c r="Z1419" s="283" t="s">
        <v>913</v>
      </c>
      <c r="AA1419" s="374" t="s">
        <v>1854</v>
      </c>
      <c r="AB1419" s="283">
        <f t="shared" ref="AB1419:AB1429" si="203">AB1402</f>
        <v>325</v>
      </c>
      <c r="AC1419" s="283" t="s">
        <v>913</v>
      </c>
      <c r="AD1419" s="283">
        <f t="shared" si="202"/>
        <v>766.35</v>
      </c>
      <c r="AE1419" s="283">
        <f t="shared" si="199"/>
        <v>0</v>
      </c>
    </row>
    <row r="1420" spans="6:31" ht="24" customHeight="1">
      <c r="F1420" s="283">
        <v>1.1000000000000001</v>
      </c>
      <c r="G1420" s="283" t="s">
        <v>868</v>
      </c>
      <c r="H1420" s="374" t="s">
        <v>2009</v>
      </c>
      <c r="I1420" s="283">
        <f>(C10)</f>
        <v>999</v>
      </c>
      <c r="J1420" s="374" t="s">
        <v>868</v>
      </c>
      <c r="K1420" s="283">
        <f>(F1420*I1420)</f>
        <v>1098.9000000000001</v>
      </c>
      <c r="L1420" s="283">
        <f>M1459+M1460+M1461</f>
        <v>11.74</v>
      </c>
      <c r="M1420" s="783">
        <v>1.62</v>
      </c>
      <c r="N1420" s="283" t="s">
        <v>2283</v>
      </c>
      <c r="O1420" s="374" t="s">
        <v>1862</v>
      </c>
      <c r="P1420" s="283">
        <f t="shared" si="200"/>
        <v>1998</v>
      </c>
      <c r="Q1420" s="283" t="s">
        <v>2283</v>
      </c>
      <c r="R1420" s="283">
        <f t="shared" si="201"/>
        <v>3236.76</v>
      </c>
      <c r="S1420" s="746">
        <v>4.42</v>
      </c>
      <c r="T1420" s="283" t="s">
        <v>913</v>
      </c>
      <c r="U1420" s="374" t="s">
        <v>1854</v>
      </c>
      <c r="V1420" s="283">
        <f>P1459</f>
        <v>325</v>
      </c>
      <c r="W1420" s="744" t="s">
        <v>913</v>
      </c>
      <c r="X1420" s="283">
        <f>V1420*S1420</f>
        <v>1436.5</v>
      </c>
      <c r="Y1420" s="783">
        <f>8.08*0.663</f>
        <v>5.3570000000000002</v>
      </c>
      <c r="Z1420" s="283" t="s">
        <v>913</v>
      </c>
      <c r="AA1420" s="374" t="s">
        <v>1854</v>
      </c>
      <c r="AB1420" s="283">
        <f t="shared" si="203"/>
        <v>325</v>
      </c>
      <c r="AC1420" s="283" t="s">
        <v>913</v>
      </c>
      <c r="AD1420" s="283">
        <f t="shared" si="202"/>
        <v>1741.03</v>
      </c>
      <c r="AE1420" s="283">
        <f t="shared" si="199"/>
        <v>0</v>
      </c>
    </row>
    <row r="1421" spans="6:31" ht="24" customHeight="1">
      <c r="F1421" s="283">
        <v>1.1000000000000001</v>
      </c>
      <c r="G1421" s="283" t="s">
        <v>868</v>
      </c>
      <c r="H1421" s="374" t="s">
        <v>1902</v>
      </c>
      <c r="I1421" s="283">
        <f>(C12)</f>
        <v>651</v>
      </c>
      <c r="J1421" s="374" t="s">
        <v>868</v>
      </c>
      <c r="K1421" s="283">
        <f>(F1421*I1421)</f>
        <v>716.1</v>
      </c>
      <c r="O1421" s="374" t="s">
        <v>1863</v>
      </c>
      <c r="Q1421" s="744"/>
      <c r="R1421" s="283">
        <v>0.25</v>
      </c>
      <c r="S1421" s="746">
        <v>4.72</v>
      </c>
      <c r="T1421" s="283" t="s">
        <v>913</v>
      </c>
      <c r="U1421" s="374" t="s">
        <v>1854</v>
      </c>
      <c r="V1421" s="283">
        <f>P1460</f>
        <v>325</v>
      </c>
      <c r="W1421" s="744" t="s">
        <v>913</v>
      </c>
      <c r="X1421" s="283">
        <f t="shared" ref="X1421:X1431" si="204">V1421*S1421</f>
        <v>1534</v>
      </c>
      <c r="Y1421" s="783">
        <v>0.92600000000000005</v>
      </c>
      <c r="Z1421" s="283" t="s">
        <v>913</v>
      </c>
      <c r="AA1421" s="374" t="s">
        <v>1854</v>
      </c>
      <c r="AB1421" s="283">
        <f t="shared" si="203"/>
        <v>325</v>
      </c>
      <c r="AC1421" s="283" t="s">
        <v>913</v>
      </c>
      <c r="AD1421" s="283">
        <f t="shared" si="202"/>
        <v>300.95</v>
      </c>
      <c r="AE1421" s="283">
        <f t="shared" si="199"/>
        <v>0</v>
      </c>
    </row>
    <row r="1422" spans="6:31" ht="24" customHeight="1">
      <c r="F1422" s="283">
        <v>1.1000000000000001</v>
      </c>
      <c r="G1422" s="283" t="s">
        <v>868</v>
      </c>
      <c r="H1422" s="374" t="s">
        <v>320</v>
      </c>
      <c r="I1422" s="283">
        <f>(C13)</f>
        <v>534</v>
      </c>
      <c r="J1422" s="374" t="s">
        <v>868</v>
      </c>
      <c r="K1422" s="283">
        <f>(F1422*I1422)</f>
        <v>587.4</v>
      </c>
      <c r="R1422" s="751">
        <f>SUM(R1409:R1421)</f>
        <v>9698.5400000000009</v>
      </c>
      <c r="S1422" s="746">
        <v>9.06</v>
      </c>
      <c r="T1422" s="283" t="s">
        <v>913</v>
      </c>
      <c r="U1422" s="374" t="s">
        <v>1854</v>
      </c>
      <c r="V1422" s="283">
        <f>P1461</f>
        <v>325</v>
      </c>
      <c r="W1422" s="744" t="s">
        <v>913</v>
      </c>
      <c r="X1422" s="283">
        <f t="shared" si="204"/>
        <v>2944.5</v>
      </c>
      <c r="Y1422" s="783">
        <v>0.85</v>
      </c>
      <c r="Z1422" s="283" t="s">
        <v>233</v>
      </c>
      <c r="AA1422" s="374" t="s">
        <v>1855</v>
      </c>
      <c r="AB1422" s="283">
        <f t="shared" si="203"/>
        <v>306.89999999999998</v>
      </c>
      <c r="AC1422" s="283" t="s">
        <v>233</v>
      </c>
      <c r="AD1422" s="283">
        <f t="shared" si="202"/>
        <v>260.87</v>
      </c>
      <c r="AE1422" s="283">
        <f t="shared" si="199"/>
        <v>0</v>
      </c>
    </row>
    <row r="1423" spans="6:31" ht="24" customHeight="1">
      <c r="G1423" s="283" t="s">
        <v>449</v>
      </c>
      <c r="H1423" s="374" t="s">
        <v>450</v>
      </c>
      <c r="I1423" s="374" t="s">
        <v>975</v>
      </c>
      <c r="J1423" s="374" t="s">
        <v>449</v>
      </c>
      <c r="O1423" s="374"/>
      <c r="Q1423" s="744"/>
      <c r="S1423" s="746">
        <v>1.58</v>
      </c>
      <c r="T1423" s="283" t="s">
        <v>913</v>
      </c>
      <c r="U1423" s="374" t="s">
        <v>1854</v>
      </c>
      <c r="V1423" s="283">
        <f>P1462</f>
        <v>325</v>
      </c>
      <c r="W1423" s="744" t="s">
        <v>913</v>
      </c>
      <c r="X1423" s="283">
        <f t="shared" si="204"/>
        <v>513.5</v>
      </c>
      <c r="Y1423" s="783">
        <v>7.4720000000000004</v>
      </c>
      <c r="Z1423" s="283" t="s">
        <v>826</v>
      </c>
      <c r="AA1423" s="374" t="s">
        <v>1856</v>
      </c>
      <c r="AB1423" s="283">
        <f t="shared" si="203"/>
        <v>29.05</v>
      </c>
      <c r="AC1423" s="283" t="s">
        <v>826</v>
      </c>
      <c r="AD1423" s="283">
        <f t="shared" si="202"/>
        <v>217.06</v>
      </c>
      <c r="AE1423" s="283">
        <f t="shared" si="199"/>
        <v>0</v>
      </c>
    </row>
    <row r="1424" spans="6:31" ht="24" customHeight="1">
      <c r="K1424" s="748" t="s">
        <v>1586</v>
      </c>
      <c r="O1424" s="374"/>
      <c r="Q1424" s="744"/>
      <c r="S1424" s="746">
        <v>1.65</v>
      </c>
      <c r="T1424" s="283" t="s">
        <v>233</v>
      </c>
      <c r="U1424" s="374" t="s">
        <v>1855</v>
      </c>
      <c r="V1424" s="283">
        <f>P1430</f>
        <v>306.89999999999998</v>
      </c>
      <c r="W1424" s="744" t="s">
        <v>233</v>
      </c>
      <c r="X1424" s="283">
        <f t="shared" si="204"/>
        <v>506.39</v>
      </c>
      <c r="Y1424" s="783">
        <v>8</v>
      </c>
      <c r="Z1424" s="283" t="s">
        <v>769</v>
      </c>
      <c r="AA1424" s="374" t="s">
        <v>1857</v>
      </c>
      <c r="AB1424" s="283">
        <f t="shared" si="203"/>
        <v>71.900000000000006</v>
      </c>
      <c r="AC1424" s="283" t="s">
        <v>769</v>
      </c>
      <c r="AD1424" s="283">
        <f t="shared" si="202"/>
        <v>575.20000000000005</v>
      </c>
      <c r="AE1424" s="283">
        <f t="shared" si="199"/>
        <v>0</v>
      </c>
    </row>
    <row r="1425" spans="6:31" ht="24" customHeight="1">
      <c r="H1425" s="374" t="s">
        <v>441</v>
      </c>
      <c r="K1425" s="283">
        <f>SUM(K1419:K1423)</f>
        <v>2911.33</v>
      </c>
      <c r="O1425" s="753" t="s">
        <v>3478</v>
      </c>
      <c r="Q1425" s="374"/>
      <c r="S1425" s="746">
        <v>12.74</v>
      </c>
      <c r="T1425" s="283" t="s">
        <v>826</v>
      </c>
      <c r="U1425" s="374" t="s">
        <v>1856</v>
      </c>
      <c r="V1425" s="283">
        <f>P1464</f>
        <v>29.05</v>
      </c>
      <c r="W1425" s="744" t="s">
        <v>826</v>
      </c>
      <c r="X1425" s="283">
        <f t="shared" si="204"/>
        <v>370.1</v>
      </c>
      <c r="Y1425" s="783">
        <v>4</v>
      </c>
      <c r="Z1425" s="283" t="s">
        <v>769</v>
      </c>
      <c r="AA1425" s="374" t="s">
        <v>1858</v>
      </c>
      <c r="AB1425" s="283">
        <f t="shared" si="203"/>
        <v>57.65</v>
      </c>
      <c r="AC1425" s="283" t="s">
        <v>769</v>
      </c>
      <c r="AD1425" s="283">
        <f t="shared" si="202"/>
        <v>230.6</v>
      </c>
      <c r="AE1425" s="283">
        <f t="shared" si="199"/>
        <v>0</v>
      </c>
    </row>
    <row r="1426" spans="6:31" ht="24" customHeight="1">
      <c r="H1426" s="744"/>
      <c r="K1426" s="748" t="s">
        <v>1586</v>
      </c>
      <c r="M1426" s="783">
        <v>2.79</v>
      </c>
      <c r="N1426" s="283" t="s">
        <v>913</v>
      </c>
      <c r="O1426" s="374" t="s">
        <v>4262</v>
      </c>
      <c r="P1426" s="283">
        <f>P1409</f>
        <v>325</v>
      </c>
      <c r="Q1426" s="283" t="s">
        <v>913</v>
      </c>
      <c r="R1426" s="283">
        <f>P1426*M1426</f>
        <v>906.75</v>
      </c>
      <c r="S1426" s="746">
        <v>12</v>
      </c>
      <c r="T1426" s="283" t="s">
        <v>769</v>
      </c>
      <c r="U1426" s="374" t="s">
        <v>1857</v>
      </c>
      <c r="V1426" s="283">
        <f>P1465</f>
        <v>71.900000000000006</v>
      </c>
      <c r="W1426" s="744" t="s">
        <v>769</v>
      </c>
      <c r="X1426" s="283">
        <f t="shared" si="204"/>
        <v>862.8</v>
      </c>
      <c r="Y1426" s="783">
        <v>4</v>
      </c>
      <c r="Z1426" s="283" t="s">
        <v>769</v>
      </c>
      <c r="AA1426" s="374" t="s">
        <v>1859</v>
      </c>
      <c r="AB1426" s="283">
        <f t="shared" si="203"/>
        <v>30</v>
      </c>
      <c r="AC1426" s="283" t="s">
        <v>769</v>
      </c>
      <c r="AD1426" s="283">
        <f t="shared" si="202"/>
        <v>120</v>
      </c>
      <c r="AE1426" s="283">
        <f t="shared" si="199"/>
        <v>0</v>
      </c>
    </row>
    <row r="1427" spans="6:31" ht="24" customHeight="1">
      <c r="H1427" s="757" t="s">
        <v>552</v>
      </c>
      <c r="I1427" s="751"/>
      <c r="J1427" s="745"/>
      <c r="K1427" s="751">
        <f>(K1425/10)</f>
        <v>291.13</v>
      </c>
      <c r="M1427" s="783">
        <v>0.5</v>
      </c>
      <c r="N1427" s="283" t="s">
        <v>913</v>
      </c>
      <c r="O1427" s="374" t="s">
        <v>1854</v>
      </c>
      <c r="P1427" s="283">
        <f t="shared" ref="P1427:P1437" si="205">P1410</f>
        <v>325</v>
      </c>
      <c r="Q1427" s="283" t="s">
        <v>913</v>
      </c>
      <c r="R1427" s="283">
        <f t="shared" ref="R1427:R1437" si="206">P1427*M1427</f>
        <v>162.5</v>
      </c>
      <c r="S1427" s="746">
        <v>6</v>
      </c>
      <c r="T1427" s="283" t="s">
        <v>769</v>
      </c>
      <c r="U1427" s="374" t="s">
        <v>1858</v>
      </c>
      <c r="V1427" s="283">
        <f>P1466</f>
        <v>57.65</v>
      </c>
      <c r="W1427" s="744" t="s">
        <v>769</v>
      </c>
      <c r="X1427" s="283">
        <f t="shared" si="204"/>
        <v>345.9</v>
      </c>
      <c r="Y1427" s="783">
        <v>4</v>
      </c>
      <c r="Z1427" s="283" t="s">
        <v>769</v>
      </c>
      <c r="AA1427" s="374" t="s">
        <v>1860</v>
      </c>
      <c r="AB1427" s="283">
        <f t="shared" si="203"/>
        <v>20</v>
      </c>
      <c r="AC1427" s="283" t="s">
        <v>769</v>
      </c>
      <c r="AD1427" s="283">
        <f t="shared" si="202"/>
        <v>80</v>
      </c>
      <c r="AE1427" s="283">
        <f t="shared" si="199"/>
        <v>0</v>
      </c>
    </row>
    <row r="1428" spans="6:31" ht="24" customHeight="1">
      <c r="K1428" s="748" t="s">
        <v>2055</v>
      </c>
      <c r="M1428" s="783">
        <v>2.85</v>
      </c>
      <c r="N1428" s="283" t="s">
        <v>913</v>
      </c>
      <c r="O1428" s="374" t="s">
        <v>1854</v>
      </c>
      <c r="P1428" s="283">
        <f t="shared" si="205"/>
        <v>325</v>
      </c>
      <c r="Q1428" s="283" t="s">
        <v>913</v>
      </c>
      <c r="R1428" s="283">
        <f t="shared" si="206"/>
        <v>926.25</v>
      </c>
      <c r="S1428" s="746">
        <v>6</v>
      </c>
      <c r="T1428" s="283" t="s">
        <v>769</v>
      </c>
      <c r="U1428" s="374" t="s">
        <v>1859</v>
      </c>
      <c r="V1428" s="283">
        <v>30</v>
      </c>
      <c r="W1428" s="744" t="s">
        <v>769</v>
      </c>
      <c r="X1428" s="283">
        <f t="shared" si="204"/>
        <v>180</v>
      </c>
      <c r="Y1428" s="783">
        <v>4</v>
      </c>
      <c r="Z1428" s="283" t="s">
        <v>769</v>
      </c>
      <c r="AA1428" s="374" t="s">
        <v>1861</v>
      </c>
      <c r="AB1428" s="283">
        <f t="shared" si="203"/>
        <v>15</v>
      </c>
      <c r="AC1428" s="283" t="s">
        <v>769</v>
      </c>
      <c r="AD1428" s="283">
        <f t="shared" si="202"/>
        <v>60</v>
      </c>
      <c r="AE1428" s="283">
        <f t="shared" si="199"/>
        <v>0</v>
      </c>
    </row>
    <row r="1429" spans="6:31" ht="24" customHeight="1">
      <c r="M1429" s="783">
        <v>0.5</v>
      </c>
      <c r="N1429" s="283" t="s">
        <v>913</v>
      </c>
      <c r="O1429" s="374" t="s">
        <v>1854</v>
      </c>
      <c r="P1429" s="283">
        <f t="shared" si="205"/>
        <v>325</v>
      </c>
      <c r="Q1429" s="283" t="s">
        <v>913</v>
      </c>
      <c r="R1429" s="283">
        <f t="shared" si="206"/>
        <v>162.5</v>
      </c>
      <c r="S1429" s="746">
        <v>6</v>
      </c>
      <c r="T1429" s="283" t="s">
        <v>769</v>
      </c>
      <c r="U1429" s="374" t="s">
        <v>1860</v>
      </c>
      <c r="V1429" s="283">
        <v>20</v>
      </c>
      <c r="W1429" s="744" t="s">
        <v>769</v>
      </c>
      <c r="X1429" s="283">
        <f t="shared" si="204"/>
        <v>120</v>
      </c>
      <c r="Y1429" s="783">
        <v>1.08</v>
      </c>
      <c r="Z1429" s="283" t="s">
        <v>2283</v>
      </c>
      <c r="AA1429" s="374" t="s">
        <v>1862</v>
      </c>
      <c r="AB1429" s="283">
        <f t="shared" si="203"/>
        <v>1998</v>
      </c>
      <c r="AC1429" s="283" t="s">
        <v>2283</v>
      </c>
      <c r="AD1429" s="283">
        <f t="shared" si="202"/>
        <v>2157.84</v>
      </c>
      <c r="AE1429" s="283">
        <f t="shared" si="199"/>
        <v>0</v>
      </c>
    </row>
    <row r="1430" spans="6:31" ht="24" customHeight="1">
      <c r="G1430" s="283" t="s">
        <v>2251</v>
      </c>
      <c r="H1430" s="374" t="s">
        <v>842</v>
      </c>
      <c r="M1430" s="783">
        <v>0.47099999999999997</v>
      </c>
      <c r="N1430" s="283" t="s">
        <v>233</v>
      </c>
      <c r="O1430" s="374" t="s">
        <v>1855</v>
      </c>
      <c r="P1430" s="283">
        <f t="shared" si="205"/>
        <v>306.89999999999998</v>
      </c>
      <c r="Q1430" s="283" t="s">
        <v>233</v>
      </c>
      <c r="R1430" s="283">
        <f t="shared" si="206"/>
        <v>144.55000000000001</v>
      </c>
      <c r="S1430" s="746">
        <v>4</v>
      </c>
      <c r="T1430" s="283" t="s">
        <v>769</v>
      </c>
      <c r="U1430" s="374" t="s">
        <v>1861</v>
      </c>
      <c r="V1430" s="283">
        <v>15</v>
      </c>
      <c r="W1430" s="744" t="s">
        <v>769</v>
      </c>
      <c r="X1430" s="283">
        <f t="shared" si="204"/>
        <v>60</v>
      </c>
      <c r="AA1430" s="374" t="s">
        <v>1863</v>
      </c>
      <c r="AC1430" s="744"/>
      <c r="AD1430" s="283">
        <v>0.96</v>
      </c>
      <c r="AE1430" s="283">
        <f t="shared" si="199"/>
        <v>0</v>
      </c>
    </row>
    <row r="1431" spans="6:31" ht="24" customHeight="1">
      <c r="H1431" s="374" t="s">
        <v>843</v>
      </c>
      <c r="M1431" s="783">
        <v>3.996</v>
      </c>
      <c r="N1431" s="283" t="s">
        <v>826</v>
      </c>
      <c r="O1431" s="374" t="s">
        <v>4265</v>
      </c>
      <c r="P1431" s="283">
        <f t="shared" si="205"/>
        <v>29.05</v>
      </c>
      <c r="Q1431" s="283" t="s">
        <v>826</v>
      </c>
      <c r="R1431" s="283">
        <f t="shared" si="206"/>
        <v>116.08</v>
      </c>
      <c r="S1431" s="746">
        <f>1.5*1.35</f>
        <v>2.0249999999999999</v>
      </c>
      <c r="T1431" s="283" t="s">
        <v>2283</v>
      </c>
      <c r="U1431" s="374" t="s">
        <v>1862</v>
      </c>
      <c r="V1431" s="283">
        <f>P1470</f>
        <v>1998</v>
      </c>
      <c r="W1431" s="744" t="s">
        <v>2283</v>
      </c>
      <c r="X1431" s="283">
        <f t="shared" si="204"/>
        <v>4045.95</v>
      </c>
      <c r="AA1431" s="750" t="s">
        <v>3536</v>
      </c>
      <c r="AD1431" s="751">
        <f>SUM(AD1418:AD1430)</f>
        <v>7568.74</v>
      </c>
      <c r="AE1431" s="283">
        <f t="shared" si="199"/>
        <v>0</v>
      </c>
    </row>
    <row r="1432" spans="6:31" ht="24" customHeight="1">
      <c r="H1432" s="374" t="s">
        <v>844</v>
      </c>
      <c r="M1432" s="783">
        <v>4</v>
      </c>
      <c r="N1432" s="283" t="s">
        <v>769</v>
      </c>
      <c r="O1432" s="374" t="s">
        <v>4263</v>
      </c>
      <c r="P1432" s="283">
        <f t="shared" si="205"/>
        <v>71.900000000000006</v>
      </c>
      <c r="Q1432" s="283" t="s">
        <v>769</v>
      </c>
      <c r="R1432" s="283">
        <f t="shared" si="206"/>
        <v>287.60000000000002</v>
      </c>
      <c r="U1432" s="374" t="s">
        <v>1863</v>
      </c>
      <c r="W1432" s="744"/>
      <c r="X1432" s="283">
        <v>0.31</v>
      </c>
      <c r="AE1432" s="283">
        <f t="shared" si="199"/>
        <v>0</v>
      </c>
    </row>
    <row r="1433" spans="6:31" ht="24" customHeight="1">
      <c r="H1433" s="748" t="s">
        <v>1586</v>
      </c>
      <c r="M1433" s="783">
        <v>2</v>
      </c>
      <c r="N1433" s="283" t="s">
        <v>769</v>
      </c>
      <c r="O1433" s="374" t="s">
        <v>4264</v>
      </c>
      <c r="P1433" s="283">
        <f t="shared" si="205"/>
        <v>57.65</v>
      </c>
      <c r="Q1433" s="283" t="s">
        <v>769</v>
      </c>
      <c r="R1433" s="283">
        <f t="shared" si="206"/>
        <v>115.3</v>
      </c>
      <c r="U1433" s="750" t="s">
        <v>3536</v>
      </c>
      <c r="W1433" s="744"/>
      <c r="X1433" s="751">
        <f>SUM(X1420:X1432)</f>
        <v>12919.95</v>
      </c>
      <c r="AE1433" s="283">
        <f t="shared" si="199"/>
        <v>0</v>
      </c>
    </row>
    <row r="1434" spans="6:31" ht="24" customHeight="1">
      <c r="F1434" s="283">
        <v>0.14000000000000001</v>
      </c>
      <c r="G1434" s="283" t="s">
        <v>869</v>
      </c>
      <c r="H1434" s="374" t="s">
        <v>1353</v>
      </c>
      <c r="I1434" s="283">
        <f>(K32)</f>
        <v>5089.26</v>
      </c>
      <c r="J1434" s="374" t="s">
        <v>869</v>
      </c>
      <c r="K1434" s="283">
        <f>(F1434*I1434)</f>
        <v>712.5</v>
      </c>
      <c r="M1434" s="783">
        <v>2</v>
      </c>
      <c r="N1434" s="283" t="s">
        <v>769</v>
      </c>
      <c r="O1434" s="374" t="s">
        <v>1859</v>
      </c>
      <c r="P1434" s="283">
        <f t="shared" si="205"/>
        <v>30</v>
      </c>
      <c r="Q1434" s="283" t="s">
        <v>769</v>
      </c>
      <c r="R1434" s="283">
        <f t="shared" si="206"/>
        <v>60</v>
      </c>
      <c r="U1434" s="283">
        <f>2.025</f>
        <v>2.0299999999999998</v>
      </c>
      <c r="W1434" s="744"/>
      <c r="Y1434" s="746"/>
      <c r="AA1434" s="753" t="s">
        <v>3502</v>
      </c>
      <c r="AB1434" s="751" t="s">
        <v>2359</v>
      </c>
      <c r="AC1434" s="751"/>
      <c r="AD1434" s="751"/>
      <c r="AE1434" s="283">
        <f t="shared" si="199"/>
        <v>0</v>
      </c>
    </row>
    <row r="1435" spans="6:31" ht="24" customHeight="1">
      <c r="F1435" s="283">
        <v>1.1000000000000001</v>
      </c>
      <c r="G1435" s="283" t="s">
        <v>868</v>
      </c>
      <c r="H1435" s="374" t="s">
        <v>2009</v>
      </c>
      <c r="I1435" s="283">
        <f>(C10)</f>
        <v>999</v>
      </c>
      <c r="J1435" s="374" t="s">
        <v>868</v>
      </c>
      <c r="K1435" s="283">
        <f>(F1435*I1435)</f>
        <v>1098.9000000000001</v>
      </c>
      <c r="M1435" s="783">
        <v>2</v>
      </c>
      <c r="N1435" s="283" t="s">
        <v>769</v>
      </c>
      <c r="O1435" s="374" t="s">
        <v>1860</v>
      </c>
      <c r="P1435" s="283">
        <f t="shared" si="205"/>
        <v>20</v>
      </c>
      <c r="Q1435" s="283" t="s">
        <v>769</v>
      </c>
      <c r="R1435" s="283">
        <f t="shared" si="206"/>
        <v>40</v>
      </c>
      <c r="W1435" s="744"/>
      <c r="Y1435" s="746">
        <v>4.21</v>
      </c>
      <c r="Z1435" s="283" t="s">
        <v>913</v>
      </c>
      <c r="AA1435" s="374" t="s">
        <v>1854</v>
      </c>
      <c r="AB1435" s="283">
        <f>V1437</f>
        <v>325</v>
      </c>
      <c r="AC1435" s="283" t="s">
        <v>913</v>
      </c>
      <c r="AD1435" s="283">
        <f>AB1435*Y1435</f>
        <v>1368.25</v>
      </c>
      <c r="AE1435" s="283">
        <f t="shared" si="199"/>
        <v>0</v>
      </c>
    </row>
    <row r="1436" spans="6:31" ht="24" customHeight="1">
      <c r="F1436" s="283">
        <v>0.5</v>
      </c>
      <c r="G1436" s="283" t="s">
        <v>868</v>
      </c>
      <c r="H1436" s="374" t="s">
        <v>1902</v>
      </c>
      <c r="I1436" s="283">
        <f>(C12)</f>
        <v>651</v>
      </c>
      <c r="J1436" s="374" t="s">
        <v>868</v>
      </c>
      <c r="K1436" s="283">
        <f>(F1436*I1436)</f>
        <v>325.5</v>
      </c>
      <c r="M1436" s="783">
        <v>4</v>
      </c>
      <c r="N1436" s="283" t="s">
        <v>769</v>
      </c>
      <c r="O1436" s="374" t="s">
        <v>1861</v>
      </c>
      <c r="P1436" s="283">
        <f t="shared" si="205"/>
        <v>15</v>
      </c>
      <c r="Q1436" s="283" t="s">
        <v>769</v>
      </c>
      <c r="R1436" s="283">
        <f t="shared" si="206"/>
        <v>60</v>
      </c>
      <c r="U1436" s="753" t="s">
        <v>3733</v>
      </c>
      <c r="V1436" s="751" t="s">
        <v>2359</v>
      </c>
      <c r="W1436" s="757"/>
      <c r="X1436" s="751"/>
      <c r="Y1436" s="746">
        <v>0.40500000000000003</v>
      </c>
      <c r="Z1436" s="283" t="s">
        <v>233</v>
      </c>
      <c r="AA1436" s="374" t="s">
        <v>1855</v>
      </c>
      <c r="AB1436" s="283">
        <f>V1438</f>
        <v>306.89999999999998</v>
      </c>
      <c r="AC1436" s="283" t="s">
        <v>913</v>
      </c>
      <c r="AD1436" s="283">
        <f>AB1436*Y1436</f>
        <v>124.29</v>
      </c>
      <c r="AE1436" s="283">
        <f t="shared" si="199"/>
        <v>0</v>
      </c>
    </row>
    <row r="1437" spans="6:31" ht="24" customHeight="1">
      <c r="F1437" s="283">
        <v>1.1000000000000001</v>
      </c>
      <c r="G1437" s="283" t="s">
        <v>868</v>
      </c>
      <c r="H1437" s="374" t="s">
        <v>320</v>
      </c>
      <c r="I1437" s="283">
        <f>(C13)</f>
        <v>534</v>
      </c>
      <c r="J1437" s="374" t="s">
        <v>868</v>
      </c>
      <c r="K1437" s="283">
        <f>(F1437*I1437)</f>
        <v>587.4</v>
      </c>
      <c r="M1437" s="783">
        <v>0.60799999999999998</v>
      </c>
      <c r="N1437" s="283" t="s">
        <v>2283</v>
      </c>
      <c r="O1437" s="374" t="s">
        <v>1862</v>
      </c>
      <c r="P1437" s="283">
        <f t="shared" si="205"/>
        <v>1998</v>
      </c>
      <c r="Q1437" s="283" t="s">
        <v>2283</v>
      </c>
      <c r="R1437" s="283">
        <f t="shared" si="206"/>
        <v>1214.78</v>
      </c>
      <c r="S1437" s="746">
        <v>3.7389999999999999</v>
      </c>
      <c r="T1437" s="283" t="s">
        <v>913</v>
      </c>
      <c r="U1437" s="374" t="s">
        <v>1854</v>
      </c>
      <c r="V1437" s="283">
        <f>P1476</f>
        <v>325</v>
      </c>
      <c r="W1437" s="744" t="s">
        <v>913</v>
      </c>
      <c r="X1437" s="283">
        <f>V1437*S1437</f>
        <v>1215.18</v>
      </c>
      <c r="Y1437" s="746">
        <v>0.40500000000000003</v>
      </c>
      <c r="Z1437" s="283" t="s">
        <v>233</v>
      </c>
      <c r="AA1437" s="374" t="s">
        <v>1862</v>
      </c>
      <c r="AB1437" s="283">
        <f>V1439</f>
        <v>1998</v>
      </c>
      <c r="AC1437" s="283" t="s">
        <v>913</v>
      </c>
      <c r="AD1437" s="283">
        <f>AB1437*Y1437</f>
        <v>809.19</v>
      </c>
      <c r="AE1437" s="283">
        <f t="shared" si="199"/>
        <v>0</v>
      </c>
    </row>
    <row r="1438" spans="6:31" ht="24" customHeight="1">
      <c r="F1438" s="283">
        <v>2</v>
      </c>
      <c r="G1438" s="283" t="s">
        <v>1645</v>
      </c>
      <c r="H1438" s="374" t="s">
        <v>845</v>
      </c>
      <c r="I1438" s="283">
        <f>(C654)</f>
        <v>42.7</v>
      </c>
      <c r="J1438" s="374" t="s">
        <v>1645</v>
      </c>
      <c r="K1438" s="283">
        <f>(F1438*I1438)</f>
        <v>85.4</v>
      </c>
      <c r="O1438" s="374" t="s">
        <v>1863</v>
      </c>
      <c r="Q1438" s="744"/>
      <c r="R1438" s="283">
        <v>0.57999999999999996</v>
      </c>
      <c r="S1438" s="746">
        <v>0.36</v>
      </c>
      <c r="T1438" s="283" t="s">
        <v>233</v>
      </c>
      <c r="U1438" s="374" t="s">
        <v>1855</v>
      </c>
      <c r="V1438" s="283">
        <f>P1477</f>
        <v>306.89999999999998</v>
      </c>
      <c r="W1438" s="744" t="s">
        <v>913</v>
      </c>
      <c r="X1438" s="283">
        <f>V1438*S1438</f>
        <v>110.48</v>
      </c>
      <c r="Y1438" s="746"/>
      <c r="AA1438" s="374"/>
      <c r="AD1438" s="283">
        <f>SUM(AD1435:AD1437)</f>
        <v>2301.73</v>
      </c>
      <c r="AE1438" s="283">
        <f t="shared" si="199"/>
        <v>0</v>
      </c>
    </row>
    <row r="1439" spans="6:31" ht="24" customHeight="1">
      <c r="G1439" s="283" t="s">
        <v>449</v>
      </c>
      <c r="H1439" s="374" t="s">
        <v>450</v>
      </c>
      <c r="I1439" s="374" t="s">
        <v>975</v>
      </c>
      <c r="J1439" s="374" t="s">
        <v>449</v>
      </c>
      <c r="K1439" s="283">
        <v>5</v>
      </c>
      <c r="R1439" s="751">
        <f>SUM(R1426:R1438)</f>
        <v>4196.8900000000003</v>
      </c>
      <c r="S1439" s="746">
        <v>0.36</v>
      </c>
      <c r="T1439" s="283" t="s">
        <v>233</v>
      </c>
      <c r="U1439" s="374" t="s">
        <v>1862</v>
      </c>
      <c r="V1439" s="283">
        <f>P1478</f>
        <v>1998</v>
      </c>
      <c r="W1439" s="744" t="s">
        <v>913</v>
      </c>
      <c r="X1439" s="283">
        <f>V1439*S1439</f>
        <v>719.28</v>
      </c>
      <c r="Y1439" s="746"/>
      <c r="AA1439" s="750" t="s">
        <v>3535</v>
      </c>
      <c r="AD1439" s="751">
        <f>AD1438/Y1437</f>
        <v>5683.28</v>
      </c>
      <c r="AE1439" s="283">
        <f t="shared" si="199"/>
        <v>0</v>
      </c>
    </row>
    <row r="1440" spans="6:31" ht="24" customHeight="1">
      <c r="K1440" s="748" t="s">
        <v>1586</v>
      </c>
      <c r="O1440" s="374"/>
      <c r="Q1440" s="744"/>
      <c r="U1440" s="374"/>
      <c r="W1440" s="744"/>
      <c r="X1440" s="283">
        <f>SUM(X1437:X1439)</f>
        <v>2044.94</v>
      </c>
      <c r="AE1440" s="283">
        <f t="shared" si="199"/>
        <v>0</v>
      </c>
    </row>
    <row r="1441" spans="6:31" ht="24" customHeight="1">
      <c r="F1441" s="374" t="s">
        <v>975</v>
      </c>
      <c r="H1441" s="374" t="s">
        <v>441</v>
      </c>
      <c r="K1441" s="283">
        <f>SUM(K1434:K1439)</f>
        <v>2814.7</v>
      </c>
      <c r="O1441" s="753" t="s">
        <v>3485</v>
      </c>
      <c r="Q1441" s="374"/>
      <c r="U1441" s="750" t="s">
        <v>3535</v>
      </c>
      <c r="W1441" s="744"/>
      <c r="X1441" s="751">
        <f>X1440/S1439</f>
        <v>5680.39</v>
      </c>
      <c r="AE1441" s="283">
        <f t="shared" si="199"/>
        <v>0</v>
      </c>
    </row>
    <row r="1442" spans="6:31" ht="24" customHeight="1">
      <c r="H1442" s="751"/>
      <c r="I1442" s="751"/>
      <c r="J1442" s="745"/>
      <c r="K1442" s="776" t="s">
        <v>1586</v>
      </c>
      <c r="M1442" s="783">
        <v>5.35</v>
      </c>
      <c r="N1442" s="283" t="s">
        <v>913</v>
      </c>
      <c r="O1442" s="374" t="s">
        <v>4262</v>
      </c>
      <c r="P1442" s="283">
        <f>P1426</f>
        <v>325</v>
      </c>
      <c r="Q1442" s="283" t="s">
        <v>913</v>
      </c>
      <c r="R1442" s="283">
        <f>P1442*M1442</f>
        <v>1738.75</v>
      </c>
      <c r="W1442" s="744"/>
      <c r="AE1442" s="283">
        <f t="shared" si="199"/>
        <v>0</v>
      </c>
    </row>
    <row r="1443" spans="6:31" ht="24" customHeight="1">
      <c r="H1443" s="757" t="s">
        <v>552</v>
      </c>
      <c r="I1443" s="751"/>
      <c r="J1443" s="745"/>
      <c r="K1443" s="751">
        <f>(K1441/10)</f>
        <v>281.47000000000003</v>
      </c>
      <c r="M1443" s="783">
        <v>7.58</v>
      </c>
      <c r="N1443" s="283" t="s">
        <v>913</v>
      </c>
      <c r="O1443" s="374" t="s">
        <v>1854</v>
      </c>
      <c r="P1443" s="283">
        <f t="shared" ref="P1443:P1453" si="207">P1427</f>
        <v>325</v>
      </c>
      <c r="Q1443" s="283" t="s">
        <v>913</v>
      </c>
      <c r="R1443" s="283">
        <f t="shared" ref="R1443:R1453" si="208">P1443*M1443</f>
        <v>2463.5</v>
      </c>
      <c r="U1443" s="753" t="s">
        <v>3734</v>
      </c>
      <c r="V1443" s="751" t="s">
        <v>2359</v>
      </c>
      <c r="W1443" s="744"/>
      <c r="AE1443" s="283">
        <f t="shared" si="199"/>
        <v>0</v>
      </c>
    </row>
    <row r="1444" spans="6:31" ht="24" customHeight="1">
      <c r="K1444" s="748" t="s">
        <v>2055</v>
      </c>
      <c r="M1444" s="783">
        <v>13.15</v>
      </c>
      <c r="N1444" s="283" t="s">
        <v>913</v>
      </c>
      <c r="O1444" s="374" t="s">
        <v>1854</v>
      </c>
      <c r="P1444" s="283">
        <f t="shared" si="207"/>
        <v>325</v>
      </c>
      <c r="Q1444" s="283" t="s">
        <v>913</v>
      </c>
      <c r="R1444" s="283">
        <f t="shared" si="208"/>
        <v>4273.75</v>
      </c>
      <c r="S1444" s="746">
        <v>4.21</v>
      </c>
      <c r="T1444" s="283" t="s">
        <v>913</v>
      </c>
      <c r="U1444" s="374" t="s">
        <v>1854</v>
      </c>
      <c r="V1444" s="283">
        <f>P1483</f>
        <v>325</v>
      </c>
      <c r="W1444" s="744" t="s">
        <v>913</v>
      </c>
      <c r="X1444" s="283">
        <f>V1444*S1444</f>
        <v>1368.25</v>
      </c>
      <c r="AE1444" s="283">
        <f t="shared" si="199"/>
        <v>0</v>
      </c>
    </row>
    <row r="1445" spans="6:31" ht="24" customHeight="1">
      <c r="H1445" s="374" t="s">
        <v>975</v>
      </c>
      <c r="M1445" s="783">
        <v>2.31</v>
      </c>
      <c r="N1445" s="283" t="s">
        <v>913</v>
      </c>
      <c r="O1445" s="374" t="s">
        <v>1854</v>
      </c>
      <c r="P1445" s="283">
        <f t="shared" si="207"/>
        <v>325</v>
      </c>
      <c r="Q1445" s="283" t="s">
        <v>913</v>
      </c>
      <c r="R1445" s="283">
        <f t="shared" si="208"/>
        <v>750.75</v>
      </c>
      <c r="S1445" s="746">
        <v>0.45</v>
      </c>
      <c r="T1445" s="283" t="s">
        <v>233</v>
      </c>
      <c r="U1445" s="374" t="s">
        <v>1855</v>
      </c>
      <c r="V1445" s="283">
        <f>P1484</f>
        <v>306.89999999999998</v>
      </c>
      <c r="W1445" s="744" t="s">
        <v>913</v>
      </c>
      <c r="X1445" s="283">
        <f>V1445*S1445</f>
        <v>138.11000000000001</v>
      </c>
      <c r="AE1445" s="283">
        <f t="shared" si="199"/>
        <v>0</v>
      </c>
    </row>
    <row r="1446" spans="6:31" ht="24" customHeight="1">
      <c r="M1446" s="783">
        <v>2.44</v>
      </c>
      <c r="N1446" s="283" t="s">
        <v>233</v>
      </c>
      <c r="O1446" s="374" t="s">
        <v>1855</v>
      </c>
      <c r="P1446" s="283">
        <f t="shared" si="207"/>
        <v>306.89999999999998</v>
      </c>
      <c r="Q1446" s="283" t="s">
        <v>233</v>
      </c>
      <c r="R1446" s="283">
        <f t="shared" si="208"/>
        <v>748.84</v>
      </c>
      <c r="S1446" s="746">
        <v>0.45</v>
      </c>
      <c r="T1446" s="283" t="s">
        <v>233</v>
      </c>
      <c r="U1446" s="374" t="s">
        <v>1862</v>
      </c>
      <c r="V1446" s="283">
        <f>P1485</f>
        <v>1998</v>
      </c>
      <c r="W1446" s="744" t="s">
        <v>913</v>
      </c>
      <c r="X1446" s="283">
        <f>V1446*S1446</f>
        <v>899.1</v>
      </c>
      <c r="AE1446" s="283">
        <f t="shared" si="199"/>
        <v>0</v>
      </c>
    </row>
    <row r="1447" spans="6:31" ht="24" customHeight="1">
      <c r="F1447" s="744" t="s">
        <v>846</v>
      </c>
      <c r="G1447" s="283" t="s">
        <v>2251</v>
      </c>
      <c r="H1447" s="374" t="s">
        <v>847</v>
      </c>
      <c r="M1447" s="783">
        <v>18.62</v>
      </c>
      <c r="N1447" s="283" t="s">
        <v>826</v>
      </c>
      <c r="O1447" s="374" t="s">
        <v>4265</v>
      </c>
      <c r="P1447" s="283">
        <f t="shared" si="207"/>
        <v>29.05</v>
      </c>
      <c r="Q1447" s="283" t="s">
        <v>826</v>
      </c>
      <c r="R1447" s="283">
        <f t="shared" si="208"/>
        <v>540.91</v>
      </c>
      <c r="S1447" s="746">
        <f>R1486-2967</f>
        <v>1178.9000000000001</v>
      </c>
      <c r="U1447" s="374"/>
      <c r="W1447" s="744"/>
      <c r="X1447" s="283">
        <f>SUM(X1444:X1446)</f>
        <v>2405.46</v>
      </c>
      <c r="AE1447" s="283">
        <f t="shared" si="199"/>
        <v>0</v>
      </c>
    </row>
    <row r="1448" spans="6:31" ht="24" customHeight="1">
      <c r="H1448" s="374" t="s">
        <v>1360</v>
      </c>
      <c r="M1448" s="783">
        <v>16</v>
      </c>
      <c r="N1448" s="283" t="s">
        <v>769</v>
      </c>
      <c r="O1448" s="374" t="s">
        <v>4263</v>
      </c>
      <c r="P1448" s="283">
        <f t="shared" si="207"/>
        <v>71.900000000000006</v>
      </c>
      <c r="Q1448" s="283" t="s">
        <v>769</v>
      </c>
      <c r="R1448" s="283">
        <f t="shared" si="208"/>
        <v>1150.4000000000001</v>
      </c>
      <c r="U1448" s="750" t="s">
        <v>3535</v>
      </c>
      <c r="W1448" s="744"/>
      <c r="X1448" s="751">
        <f>X1447/S1446</f>
        <v>5345.47</v>
      </c>
      <c r="Y1448" s="746"/>
      <c r="AA1448" s="753" t="s">
        <v>3472</v>
      </c>
      <c r="AC1448" s="374"/>
      <c r="AE1448" s="283">
        <f t="shared" si="199"/>
        <v>0</v>
      </c>
    </row>
    <row r="1449" spans="6:31" ht="24" customHeight="1">
      <c r="H1449" s="374" t="s">
        <v>1361</v>
      </c>
      <c r="M1449" s="783">
        <v>8</v>
      </c>
      <c r="N1449" s="283" t="s">
        <v>769</v>
      </c>
      <c r="O1449" s="374" t="s">
        <v>4264</v>
      </c>
      <c r="P1449" s="283">
        <f t="shared" si="207"/>
        <v>57.65</v>
      </c>
      <c r="Q1449" s="283" t="s">
        <v>769</v>
      </c>
      <c r="R1449" s="283">
        <f t="shared" si="208"/>
        <v>461.2</v>
      </c>
      <c r="W1449" s="744"/>
      <c r="Y1449" s="746">
        <v>3.26</v>
      </c>
      <c r="Z1449" s="283" t="s">
        <v>913</v>
      </c>
      <c r="AA1449" s="374" t="s">
        <v>1854</v>
      </c>
      <c r="AB1449" s="283">
        <f t="shared" ref="AB1449:AB1460" si="209">V1451</f>
        <v>325</v>
      </c>
      <c r="AC1449" s="283" t="s">
        <v>913</v>
      </c>
      <c r="AD1449" s="283">
        <f t="shared" ref="AD1449:AD1460" si="210">AB1449*Y1449</f>
        <v>1059.5</v>
      </c>
      <c r="AE1449" s="283">
        <f t="shared" si="199"/>
        <v>0</v>
      </c>
    </row>
    <row r="1450" spans="6:31" ht="24" customHeight="1">
      <c r="H1450" s="374" t="s">
        <v>698</v>
      </c>
      <c r="M1450" s="783">
        <v>8</v>
      </c>
      <c r="N1450" s="283" t="s">
        <v>769</v>
      </c>
      <c r="O1450" s="374" t="s">
        <v>1859</v>
      </c>
      <c r="P1450" s="283">
        <f t="shared" si="207"/>
        <v>30</v>
      </c>
      <c r="Q1450" s="283" t="s">
        <v>769</v>
      </c>
      <c r="R1450" s="283">
        <f t="shared" si="208"/>
        <v>240</v>
      </c>
      <c r="U1450" s="753" t="s">
        <v>3471</v>
      </c>
      <c r="W1450" s="744"/>
      <c r="Y1450" s="746">
        <v>0.84</v>
      </c>
      <c r="Z1450" s="283" t="s">
        <v>913</v>
      </c>
      <c r="AA1450" s="374" t="s">
        <v>1854</v>
      </c>
      <c r="AB1450" s="283">
        <f t="shared" si="209"/>
        <v>325</v>
      </c>
      <c r="AC1450" s="283" t="s">
        <v>913</v>
      </c>
      <c r="AD1450" s="283">
        <f t="shared" si="210"/>
        <v>273</v>
      </c>
      <c r="AE1450" s="283">
        <f t="shared" si="199"/>
        <v>0</v>
      </c>
    </row>
    <row r="1451" spans="6:31" ht="24" customHeight="1">
      <c r="H1451" s="748" t="s">
        <v>1586</v>
      </c>
      <c r="I1451" s="748" t="s">
        <v>1586</v>
      </c>
      <c r="M1451" s="783">
        <v>8</v>
      </c>
      <c r="N1451" s="283" t="s">
        <v>769</v>
      </c>
      <c r="O1451" s="374" t="s">
        <v>1860</v>
      </c>
      <c r="P1451" s="283">
        <f t="shared" si="207"/>
        <v>20</v>
      </c>
      <c r="Q1451" s="283" t="s">
        <v>769</v>
      </c>
      <c r="R1451" s="283">
        <f t="shared" si="208"/>
        <v>160</v>
      </c>
      <c r="S1451" s="746">
        <v>3.49</v>
      </c>
      <c r="T1451" s="283" t="s">
        <v>913</v>
      </c>
      <c r="U1451" s="374" t="s">
        <v>1854</v>
      </c>
      <c r="V1451" s="283">
        <f>P1490</f>
        <v>325</v>
      </c>
      <c r="W1451" s="744" t="s">
        <v>913</v>
      </c>
      <c r="X1451" s="283">
        <f>V1451*S1451</f>
        <v>1134.25</v>
      </c>
      <c r="Y1451" s="746">
        <v>3.65</v>
      </c>
      <c r="Z1451" s="283" t="s">
        <v>913</v>
      </c>
      <c r="AA1451" s="374" t="s">
        <v>1854</v>
      </c>
      <c r="AB1451" s="283">
        <f t="shared" si="209"/>
        <v>325</v>
      </c>
      <c r="AC1451" s="283" t="s">
        <v>913</v>
      </c>
      <c r="AD1451" s="283">
        <f t="shared" si="210"/>
        <v>1186.25</v>
      </c>
      <c r="AE1451" s="283">
        <f t="shared" si="199"/>
        <v>0</v>
      </c>
    </row>
    <row r="1452" spans="6:31" ht="24" customHeight="1">
      <c r="G1452" s="283" t="s">
        <v>1907</v>
      </c>
      <c r="H1452" s="374" t="s">
        <v>699</v>
      </c>
      <c r="M1452" s="783">
        <v>4</v>
      </c>
      <c r="N1452" s="283" t="s">
        <v>769</v>
      </c>
      <c r="O1452" s="374" t="s">
        <v>1861</v>
      </c>
      <c r="P1452" s="283">
        <f t="shared" si="207"/>
        <v>15</v>
      </c>
      <c r="Q1452" s="283" t="s">
        <v>769</v>
      </c>
      <c r="R1452" s="283">
        <f t="shared" si="208"/>
        <v>60</v>
      </c>
      <c r="S1452" s="746">
        <v>2.5299999999999998</v>
      </c>
      <c r="T1452" s="283" t="s">
        <v>913</v>
      </c>
      <c r="U1452" s="374" t="s">
        <v>1854</v>
      </c>
      <c r="V1452" s="283">
        <f t="shared" ref="V1452:V1462" si="211">P1491</f>
        <v>325</v>
      </c>
      <c r="W1452" s="744" t="s">
        <v>913</v>
      </c>
      <c r="X1452" s="283">
        <f t="shared" ref="X1452:X1462" si="212">V1452*S1452</f>
        <v>822.25</v>
      </c>
      <c r="Y1452" s="746">
        <v>0.64</v>
      </c>
      <c r="Z1452" s="283" t="s">
        <v>913</v>
      </c>
      <c r="AA1452" s="374" t="s">
        <v>1854</v>
      </c>
      <c r="AB1452" s="283">
        <f t="shared" si="209"/>
        <v>325</v>
      </c>
      <c r="AC1452" s="283" t="s">
        <v>913</v>
      </c>
      <c r="AD1452" s="283">
        <f t="shared" si="210"/>
        <v>208</v>
      </c>
      <c r="AE1452" s="283">
        <f t="shared" si="199"/>
        <v>0</v>
      </c>
    </row>
    <row r="1453" spans="6:31" ht="24" customHeight="1">
      <c r="G1453" s="283" t="s">
        <v>1586</v>
      </c>
      <c r="H1453" s="748" t="s">
        <v>1586</v>
      </c>
      <c r="M1453" s="783">
        <f>1.8*1.65</f>
        <v>2.97</v>
      </c>
      <c r="N1453" s="283" t="s">
        <v>2283</v>
      </c>
      <c r="O1453" s="374" t="s">
        <v>1862</v>
      </c>
      <c r="P1453" s="283">
        <f t="shared" si="207"/>
        <v>1998</v>
      </c>
      <c r="Q1453" s="283" t="s">
        <v>2283</v>
      </c>
      <c r="R1453" s="283">
        <f t="shared" si="208"/>
        <v>5934.06</v>
      </c>
      <c r="S1453" s="746">
        <v>5.7549999999999999</v>
      </c>
      <c r="T1453" s="283" t="s">
        <v>913</v>
      </c>
      <c r="U1453" s="374" t="s">
        <v>1854</v>
      </c>
      <c r="V1453" s="283">
        <f t="shared" si="211"/>
        <v>325</v>
      </c>
      <c r="W1453" s="744" t="s">
        <v>913</v>
      </c>
      <c r="X1453" s="283">
        <f t="shared" si="212"/>
        <v>1870.38</v>
      </c>
      <c r="Y1453" s="746">
        <v>0.84099999999999997</v>
      </c>
      <c r="Z1453" s="283" t="s">
        <v>233</v>
      </c>
      <c r="AA1453" s="374" t="s">
        <v>1855</v>
      </c>
      <c r="AB1453" s="283">
        <f t="shared" si="209"/>
        <v>306.89999999999998</v>
      </c>
      <c r="AC1453" s="283" t="s">
        <v>233</v>
      </c>
      <c r="AD1453" s="283">
        <f t="shared" si="210"/>
        <v>258.10000000000002</v>
      </c>
      <c r="AE1453" s="283">
        <f t="shared" si="199"/>
        <v>0</v>
      </c>
    </row>
    <row r="1454" spans="6:31" ht="24" customHeight="1">
      <c r="F1454" s="783">
        <v>1.4E-2</v>
      </c>
      <c r="G1454" s="283" t="s">
        <v>2151</v>
      </c>
      <c r="H1454" s="374" t="s">
        <v>700</v>
      </c>
      <c r="I1454" s="283">
        <f>K49</f>
        <v>3929.58</v>
      </c>
      <c r="J1454" s="374" t="s">
        <v>2151</v>
      </c>
      <c r="K1454" s="283">
        <f>(F1454*I1454)</f>
        <v>55.01</v>
      </c>
      <c r="O1454" s="374" t="s">
        <v>1863</v>
      </c>
      <c r="Q1454" s="744"/>
      <c r="R1454" s="283">
        <v>0.78</v>
      </c>
      <c r="S1454" s="746">
        <v>1.0009999999999999</v>
      </c>
      <c r="T1454" s="283" t="s">
        <v>913</v>
      </c>
      <c r="U1454" s="374" t="s">
        <v>1854</v>
      </c>
      <c r="V1454" s="283">
        <f t="shared" si="211"/>
        <v>325</v>
      </c>
      <c r="W1454" s="744" t="s">
        <v>913</v>
      </c>
      <c r="X1454" s="283">
        <f t="shared" si="212"/>
        <v>325.33</v>
      </c>
      <c r="Y1454" s="746">
        <v>5.1959999999999997</v>
      </c>
      <c r="Z1454" s="283" t="s">
        <v>826</v>
      </c>
      <c r="AA1454" s="374" t="s">
        <v>1856</v>
      </c>
      <c r="AB1454" s="283">
        <f t="shared" si="209"/>
        <v>29.05</v>
      </c>
      <c r="AC1454" s="283" t="s">
        <v>826</v>
      </c>
      <c r="AD1454" s="283">
        <f t="shared" si="210"/>
        <v>150.94</v>
      </c>
      <c r="AE1454" s="283">
        <f t="shared" si="199"/>
        <v>0</v>
      </c>
    </row>
    <row r="1455" spans="6:31" ht="24" customHeight="1">
      <c r="F1455" s="283">
        <v>0.3</v>
      </c>
      <c r="G1455" s="283" t="s">
        <v>560</v>
      </c>
      <c r="H1455" s="374" t="s">
        <v>701</v>
      </c>
      <c r="I1455" s="283">
        <f>C10</f>
        <v>999</v>
      </c>
      <c r="J1455" s="374" t="s">
        <v>560</v>
      </c>
      <c r="K1455" s="283">
        <f>(F1455*I1455)</f>
        <v>299.7</v>
      </c>
      <c r="R1455" s="751">
        <f>SUM(R1442:R1454)</f>
        <v>18522.939999999999</v>
      </c>
      <c r="S1455" s="746">
        <f>1.012</f>
        <v>1.012</v>
      </c>
      <c r="T1455" s="283" t="s">
        <v>233</v>
      </c>
      <c r="U1455" s="374" t="s">
        <v>1855</v>
      </c>
      <c r="V1455" s="283">
        <f t="shared" si="211"/>
        <v>306.89999999999998</v>
      </c>
      <c r="W1455" s="744" t="s">
        <v>233</v>
      </c>
      <c r="X1455" s="283">
        <f t="shared" si="212"/>
        <v>310.58</v>
      </c>
      <c r="Y1455" s="746">
        <v>4</v>
      </c>
      <c r="Z1455" s="283" t="s">
        <v>769</v>
      </c>
      <c r="AA1455" s="374" t="s">
        <v>1857</v>
      </c>
      <c r="AB1455" s="283">
        <f t="shared" si="209"/>
        <v>71.900000000000006</v>
      </c>
      <c r="AC1455" s="283" t="s">
        <v>769</v>
      </c>
      <c r="AD1455" s="283">
        <f t="shared" si="210"/>
        <v>287.60000000000002</v>
      </c>
      <c r="AE1455" s="283">
        <f t="shared" si="199"/>
        <v>0</v>
      </c>
    </row>
    <row r="1456" spans="6:31" ht="24" customHeight="1">
      <c r="F1456" s="283">
        <v>0.3</v>
      </c>
      <c r="G1456" s="283" t="s">
        <v>560</v>
      </c>
      <c r="H1456" s="374" t="s">
        <v>823</v>
      </c>
      <c r="I1456" s="283">
        <f>C12</f>
        <v>651</v>
      </c>
      <c r="J1456" s="374" t="s">
        <v>560</v>
      </c>
      <c r="K1456" s="283">
        <f>(F1456*I1456)</f>
        <v>195.3</v>
      </c>
      <c r="R1456" s="283">
        <f>R1455/M1453</f>
        <v>6236.68</v>
      </c>
      <c r="S1456" s="746" t="s">
        <v>2283</v>
      </c>
      <c r="T1456" s="283" t="s">
        <v>826</v>
      </c>
      <c r="U1456" s="374" t="s">
        <v>1856</v>
      </c>
      <c r="V1456" s="283">
        <f t="shared" si="211"/>
        <v>29.05</v>
      </c>
      <c r="W1456" s="744" t="s">
        <v>826</v>
      </c>
      <c r="X1456" s="283">
        <f t="shared" si="212"/>
        <v>0</v>
      </c>
      <c r="Y1456" s="746">
        <v>2</v>
      </c>
      <c r="Z1456" s="283" t="s">
        <v>769</v>
      </c>
      <c r="AA1456" s="374" t="s">
        <v>1858</v>
      </c>
      <c r="AB1456" s="283">
        <f t="shared" si="209"/>
        <v>57.65</v>
      </c>
      <c r="AC1456" s="283" t="s">
        <v>769</v>
      </c>
      <c r="AD1456" s="283">
        <f t="shared" si="210"/>
        <v>115.3</v>
      </c>
      <c r="AE1456" s="283">
        <f t="shared" si="199"/>
        <v>0</v>
      </c>
    </row>
    <row r="1457" spans="6:31" ht="24" customHeight="1">
      <c r="G1457" s="283" t="s">
        <v>449</v>
      </c>
      <c r="H1457" s="374" t="s">
        <v>2271</v>
      </c>
      <c r="J1457" s="374" t="s">
        <v>449</v>
      </c>
      <c r="K1457" s="283">
        <v>0</v>
      </c>
      <c r="S1457" s="746">
        <v>8</v>
      </c>
      <c r="T1457" s="283" t="s">
        <v>769</v>
      </c>
      <c r="U1457" s="374" t="s">
        <v>1857</v>
      </c>
      <c r="V1457" s="283">
        <f t="shared" si="211"/>
        <v>71.900000000000006</v>
      </c>
      <c r="W1457" s="744" t="s">
        <v>769</v>
      </c>
      <c r="X1457" s="283">
        <f t="shared" si="212"/>
        <v>575.20000000000005</v>
      </c>
      <c r="Y1457" s="746">
        <v>2</v>
      </c>
      <c r="Z1457" s="283" t="s">
        <v>769</v>
      </c>
      <c r="AA1457" s="374" t="s">
        <v>1859</v>
      </c>
      <c r="AB1457" s="283">
        <f t="shared" si="209"/>
        <v>30</v>
      </c>
      <c r="AC1457" s="283" t="s">
        <v>769</v>
      </c>
      <c r="AD1457" s="283">
        <f t="shared" si="210"/>
        <v>60</v>
      </c>
      <c r="AE1457" s="283">
        <f t="shared" si="199"/>
        <v>0</v>
      </c>
    </row>
    <row r="1458" spans="6:31" ht="24" customHeight="1">
      <c r="K1458" s="748" t="s">
        <v>1586</v>
      </c>
      <c r="O1458" s="753" t="s">
        <v>2829</v>
      </c>
      <c r="Q1458" s="374"/>
      <c r="S1458" s="746">
        <v>4</v>
      </c>
      <c r="T1458" s="283" t="s">
        <v>769</v>
      </c>
      <c r="U1458" s="374" t="s">
        <v>1858</v>
      </c>
      <c r="V1458" s="283">
        <f t="shared" si="211"/>
        <v>57.65</v>
      </c>
      <c r="W1458" s="744" t="s">
        <v>769</v>
      </c>
      <c r="X1458" s="283">
        <f t="shared" si="212"/>
        <v>230.6</v>
      </c>
      <c r="Y1458" s="746">
        <v>2</v>
      </c>
      <c r="Z1458" s="283" t="s">
        <v>769</v>
      </c>
      <c r="AA1458" s="374" t="s">
        <v>1860</v>
      </c>
      <c r="AB1458" s="283">
        <f t="shared" si="209"/>
        <v>20</v>
      </c>
      <c r="AC1458" s="283" t="s">
        <v>769</v>
      </c>
      <c r="AD1458" s="283">
        <f t="shared" si="210"/>
        <v>40</v>
      </c>
      <c r="AE1458" s="283">
        <f t="shared" si="199"/>
        <v>0</v>
      </c>
    </row>
    <row r="1459" spans="6:31" ht="24" customHeight="1">
      <c r="H1459" s="744" t="s">
        <v>702</v>
      </c>
      <c r="K1459" s="283">
        <f>SUM(K1454:K1457)</f>
        <v>550.01</v>
      </c>
      <c r="M1459" s="783">
        <v>10.75</v>
      </c>
      <c r="N1459" s="283" t="s">
        <v>913</v>
      </c>
      <c r="O1459" s="374" t="s">
        <v>4262</v>
      </c>
      <c r="P1459" s="283">
        <f>P1442</f>
        <v>325</v>
      </c>
      <c r="Q1459" s="283" t="s">
        <v>913</v>
      </c>
      <c r="R1459" s="283">
        <f>P1459*M1459</f>
        <v>3493.75</v>
      </c>
      <c r="S1459" s="746">
        <v>4</v>
      </c>
      <c r="T1459" s="283" t="s">
        <v>769</v>
      </c>
      <c r="U1459" s="374" t="s">
        <v>1859</v>
      </c>
      <c r="V1459" s="283">
        <f t="shared" si="211"/>
        <v>30</v>
      </c>
      <c r="W1459" s="744" t="s">
        <v>769</v>
      </c>
      <c r="X1459" s="283">
        <f t="shared" si="212"/>
        <v>120</v>
      </c>
      <c r="Y1459" s="746">
        <v>4</v>
      </c>
      <c r="Z1459" s="283" t="s">
        <v>769</v>
      </c>
      <c r="AA1459" s="374" t="s">
        <v>1861</v>
      </c>
      <c r="AB1459" s="283">
        <f t="shared" si="209"/>
        <v>15</v>
      </c>
      <c r="AC1459" s="283" t="s">
        <v>769</v>
      </c>
      <c r="AD1459" s="283">
        <f t="shared" si="210"/>
        <v>60</v>
      </c>
      <c r="AE1459" s="283">
        <f t="shared" si="199"/>
        <v>0</v>
      </c>
    </row>
    <row r="1460" spans="6:31" ht="24" customHeight="1">
      <c r="K1460" s="748" t="s">
        <v>1586</v>
      </c>
      <c r="M1460" s="783">
        <v>0.99199999999999999</v>
      </c>
      <c r="N1460" s="283" t="s">
        <v>913</v>
      </c>
      <c r="O1460" s="374" t="s">
        <v>1854</v>
      </c>
      <c r="P1460" s="283">
        <f t="shared" ref="P1460:P1470" si="213">P1443</f>
        <v>325</v>
      </c>
      <c r="Q1460" s="283" t="s">
        <v>913</v>
      </c>
      <c r="R1460" s="283">
        <f t="shared" ref="R1460:R1470" si="214">P1460*M1460</f>
        <v>322.39999999999998</v>
      </c>
      <c r="S1460" s="746">
        <v>4</v>
      </c>
      <c r="T1460" s="283" t="s">
        <v>769</v>
      </c>
      <c r="U1460" s="374" t="s">
        <v>1860</v>
      </c>
      <c r="V1460" s="283">
        <f t="shared" si="211"/>
        <v>20</v>
      </c>
      <c r="W1460" s="744" t="s">
        <v>769</v>
      </c>
      <c r="X1460" s="283">
        <f t="shared" si="212"/>
        <v>80</v>
      </c>
      <c r="Y1460" s="746">
        <v>1.01</v>
      </c>
      <c r="Z1460" s="283" t="s">
        <v>2283</v>
      </c>
      <c r="AA1460" s="374" t="s">
        <v>1862</v>
      </c>
      <c r="AB1460" s="283">
        <f t="shared" si="209"/>
        <v>1998</v>
      </c>
      <c r="AC1460" s="283" t="s">
        <v>2283</v>
      </c>
      <c r="AD1460" s="283">
        <f t="shared" si="210"/>
        <v>2017.98</v>
      </c>
      <c r="AE1460" s="283">
        <f t="shared" si="199"/>
        <v>0</v>
      </c>
    </row>
    <row r="1461" spans="6:31" ht="24" customHeight="1">
      <c r="H1461" s="757" t="s">
        <v>703</v>
      </c>
      <c r="I1461" s="751"/>
      <c r="J1461" s="745"/>
      <c r="K1461" s="751">
        <f>K1459/6.77</f>
        <v>81.239999999999995</v>
      </c>
      <c r="M1461" s="783">
        <v>0</v>
      </c>
      <c r="N1461" s="283" t="s">
        <v>913</v>
      </c>
      <c r="O1461" s="374" t="s">
        <v>1854</v>
      </c>
      <c r="P1461" s="283">
        <f t="shared" si="213"/>
        <v>325</v>
      </c>
      <c r="Q1461" s="283" t="s">
        <v>913</v>
      </c>
      <c r="R1461" s="283">
        <f t="shared" si="214"/>
        <v>0</v>
      </c>
      <c r="S1461" s="746">
        <v>4</v>
      </c>
      <c r="T1461" s="283" t="s">
        <v>769</v>
      </c>
      <c r="U1461" s="374" t="s">
        <v>1861</v>
      </c>
      <c r="V1461" s="283">
        <f t="shared" si="211"/>
        <v>15</v>
      </c>
      <c r="W1461" s="744" t="s">
        <v>769</v>
      </c>
      <c r="X1461" s="283">
        <f t="shared" si="212"/>
        <v>60</v>
      </c>
      <c r="Y1461" s="746"/>
      <c r="AA1461" s="374" t="s">
        <v>1863</v>
      </c>
      <c r="AC1461" s="744"/>
      <c r="AD1461" s="283">
        <v>0.84</v>
      </c>
      <c r="AE1461" s="283">
        <f t="shared" si="199"/>
        <v>0</v>
      </c>
    </row>
    <row r="1462" spans="6:31" ht="24" customHeight="1">
      <c r="F1462" s="374" t="s">
        <v>975</v>
      </c>
      <c r="M1462" s="783">
        <v>0</v>
      </c>
      <c r="N1462" s="283" t="s">
        <v>913</v>
      </c>
      <c r="O1462" s="374" t="s">
        <v>1854</v>
      </c>
      <c r="P1462" s="283">
        <f t="shared" si="213"/>
        <v>325</v>
      </c>
      <c r="Q1462" s="283" t="s">
        <v>913</v>
      </c>
      <c r="R1462" s="283">
        <f t="shared" si="214"/>
        <v>0</v>
      </c>
      <c r="S1462" s="746">
        <v>1.26</v>
      </c>
      <c r="T1462" s="283" t="s">
        <v>2283</v>
      </c>
      <c r="U1462" s="374" t="s">
        <v>1862</v>
      </c>
      <c r="V1462" s="283">
        <f t="shared" si="211"/>
        <v>1998</v>
      </c>
      <c r="W1462" s="744" t="s">
        <v>2283</v>
      </c>
      <c r="X1462" s="283">
        <f t="shared" si="212"/>
        <v>2517.48</v>
      </c>
      <c r="Y1462" s="746"/>
      <c r="AA1462" s="750" t="s">
        <v>3536</v>
      </c>
      <c r="AD1462" s="751">
        <f>SUM(AD1449:AD1461)</f>
        <v>5717.51</v>
      </c>
      <c r="AE1462" s="283">
        <f t="shared" si="199"/>
        <v>0</v>
      </c>
    </row>
    <row r="1463" spans="6:31" ht="24" customHeight="1">
      <c r="K1463" s="748" t="s">
        <v>2055</v>
      </c>
      <c r="M1463" s="783">
        <v>1.89</v>
      </c>
      <c r="N1463" s="283" t="s">
        <v>233</v>
      </c>
      <c r="O1463" s="374" t="s">
        <v>1855</v>
      </c>
      <c r="P1463" s="283">
        <f t="shared" si="213"/>
        <v>306.89999999999998</v>
      </c>
      <c r="Q1463" s="283" t="s">
        <v>233</v>
      </c>
      <c r="R1463" s="283">
        <f t="shared" si="214"/>
        <v>580.04</v>
      </c>
      <c r="U1463" s="374" t="s">
        <v>1863</v>
      </c>
      <c r="W1463" s="744"/>
      <c r="X1463" s="283">
        <v>0.14000000000000001</v>
      </c>
      <c r="AE1463" s="283">
        <f t="shared" si="199"/>
        <v>0</v>
      </c>
    </row>
    <row r="1464" spans="6:31" ht="24" customHeight="1">
      <c r="G1464" s="283" t="s">
        <v>520</v>
      </c>
      <c r="H1464" s="374" t="s">
        <v>704</v>
      </c>
      <c r="M1464" s="783">
        <v>8</v>
      </c>
      <c r="N1464" s="283" t="s">
        <v>826</v>
      </c>
      <c r="O1464" s="374" t="s">
        <v>4265</v>
      </c>
      <c r="P1464" s="283">
        <f t="shared" si="213"/>
        <v>29.05</v>
      </c>
      <c r="Q1464" s="283" t="s">
        <v>826</v>
      </c>
      <c r="R1464" s="283">
        <f t="shared" si="214"/>
        <v>232.4</v>
      </c>
      <c r="U1464" s="750" t="s">
        <v>3536</v>
      </c>
      <c r="W1464" s="744"/>
      <c r="X1464" s="751">
        <f>SUM(X1451:X1463)</f>
        <v>8046.21</v>
      </c>
      <c r="AE1464" s="283">
        <f t="shared" si="199"/>
        <v>0</v>
      </c>
    </row>
    <row r="1465" spans="6:31" ht="24" customHeight="1">
      <c r="G1465" s="283" t="s">
        <v>1586</v>
      </c>
      <c r="H1465" s="748" t="s">
        <v>1586</v>
      </c>
      <c r="M1465" s="783">
        <v>0</v>
      </c>
      <c r="N1465" s="283" t="s">
        <v>769</v>
      </c>
      <c r="O1465" s="374" t="s">
        <v>4263</v>
      </c>
      <c r="P1465" s="283">
        <f t="shared" si="213"/>
        <v>71.900000000000006</v>
      </c>
      <c r="Q1465" s="283" t="s">
        <v>769</v>
      </c>
      <c r="R1465" s="283">
        <f t="shared" si="214"/>
        <v>0</v>
      </c>
      <c r="W1465" s="744"/>
      <c r="AE1465" s="283">
        <f t="shared" si="199"/>
        <v>0</v>
      </c>
    </row>
    <row r="1466" spans="6:31" ht="24" customHeight="1">
      <c r="F1466" s="783">
        <v>7.0000000000000001E-3</v>
      </c>
      <c r="G1466" s="283" t="s">
        <v>2151</v>
      </c>
      <c r="H1466" s="374" t="s">
        <v>700</v>
      </c>
      <c r="I1466" s="283">
        <f>K49</f>
        <v>3929.58</v>
      </c>
      <c r="J1466" s="374" t="s">
        <v>2151</v>
      </c>
      <c r="K1466" s="283">
        <f>(F1466*I1466)</f>
        <v>27.51</v>
      </c>
      <c r="M1466" s="783">
        <v>0</v>
      </c>
      <c r="N1466" s="283" t="s">
        <v>769</v>
      </c>
      <c r="O1466" s="374" t="s">
        <v>4264</v>
      </c>
      <c r="P1466" s="283">
        <f t="shared" si="213"/>
        <v>57.65</v>
      </c>
      <c r="Q1466" s="283" t="s">
        <v>769</v>
      </c>
      <c r="R1466" s="283">
        <f t="shared" si="214"/>
        <v>0</v>
      </c>
      <c r="W1466" s="744"/>
      <c r="AE1466" s="283">
        <f t="shared" si="199"/>
        <v>0</v>
      </c>
    </row>
    <row r="1467" spans="6:31" ht="24" customHeight="1">
      <c r="F1467" s="283">
        <v>0.2</v>
      </c>
      <c r="G1467" s="283" t="s">
        <v>560</v>
      </c>
      <c r="H1467" s="374" t="s">
        <v>701</v>
      </c>
      <c r="I1467" s="283">
        <f>C10</f>
        <v>999</v>
      </c>
      <c r="J1467" s="374" t="s">
        <v>560</v>
      </c>
      <c r="K1467" s="283">
        <f>(F1467*I1467)</f>
        <v>199.8</v>
      </c>
      <c r="M1467" s="783">
        <v>0</v>
      </c>
      <c r="N1467" s="283" t="s">
        <v>769</v>
      </c>
      <c r="O1467" s="374" t="s">
        <v>1859</v>
      </c>
      <c r="P1467" s="283">
        <f t="shared" si="213"/>
        <v>30</v>
      </c>
      <c r="Q1467" s="283" t="s">
        <v>769</v>
      </c>
      <c r="R1467" s="283">
        <f t="shared" si="214"/>
        <v>0</v>
      </c>
      <c r="U1467" s="753" t="s">
        <v>2358</v>
      </c>
      <c r="V1467" s="751" t="s">
        <v>2359</v>
      </c>
      <c r="W1467" s="744"/>
      <c r="AE1467" s="283">
        <f t="shared" si="199"/>
        <v>0</v>
      </c>
    </row>
    <row r="1468" spans="6:31" ht="24" customHeight="1">
      <c r="F1468" s="283">
        <v>0.2</v>
      </c>
      <c r="G1468" s="283" t="s">
        <v>560</v>
      </c>
      <c r="H1468" s="374" t="s">
        <v>823</v>
      </c>
      <c r="I1468" s="283">
        <f>C12</f>
        <v>651</v>
      </c>
      <c r="J1468" s="374" t="s">
        <v>560</v>
      </c>
      <c r="K1468" s="283">
        <f>(F1468*I1468)</f>
        <v>130.19999999999999</v>
      </c>
      <c r="M1468" s="783">
        <v>0</v>
      </c>
      <c r="N1468" s="283" t="s">
        <v>769</v>
      </c>
      <c r="O1468" s="374" t="s">
        <v>1860</v>
      </c>
      <c r="P1468" s="283">
        <f t="shared" si="213"/>
        <v>20</v>
      </c>
      <c r="Q1468" s="283" t="s">
        <v>769</v>
      </c>
      <c r="R1468" s="283">
        <f t="shared" si="214"/>
        <v>0</v>
      </c>
      <c r="S1468" s="746">
        <v>6.81</v>
      </c>
      <c r="T1468" s="283" t="s">
        <v>913</v>
      </c>
      <c r="U1468" s="374" t="s">
        <v>1854</v>
      </c>
      <c r="V1468" s="283">
        <f>V1444</f>
        <v>325</v>
      </c>
      <c r="W1468" s="744" t="s">
        <v>913</v>
      </c>
      <c r="X1468" s="283">
        <f>V1468*S1468</f>
        <v>2213.25</v>
      </c>
      <c r="AE1468" s="283">
        <f t="shared" si="199"/>
        <v>0</v>
      </c>
    </row>
    <row r="1469" spans="6:31" ht="24" customHeight="1">
      <c r="H1469" s="374" t="s">
        <v>2271</v>
      </c>
      <c r="K1469" s="283">
        <v>0</v>
      </c>
      <c r="M1469" s="783">
        <v>0</v>
      </c>
      <c r="N1469" s="283" t="s">
        <v>769</v>
      </c>
      <c r="O1469" s="374" t="s">
        <v>1861</v>
      </c>
      <c r="P1469" s="283">
        <f t="shared" si="213"/>
        <v>15</v>
      </c>
      <c r="Q1469" s="283" t="s">
        <v>769</v>
      </c>
      <c r="R1469" s="283">
        <f t="shared" si="214"/>
        <v>0</v>
      </c>
      <c r="S1469" s="746">
        <v>0.77100000000000002</v>
      </c>
      <c r="T1469" s="283" t="s">
        <v>233</v>
      </c>
      <c r="U1469" s="374" t="s">
        <v>1855</v>
      </c>
      <c r="V1469" s="283">
        <f>V1445</f>
        <v>306.89999999999998</v>
      </c>
      <c r="W1469" s="744" t="s">
        <v>913</v>
      </c>
      <c r="X1469" s="283">
        <f>V1469*S1469</f>
        <v>236.62</v>
      </c>
      <c r="AE1469" s="283">
        <f t="shared" si="199"/>
        <v>0</v>
      </c>
    </row>
    <row r="1470" spans="6:31" ht="24" customHeight="1">
      <c r="K1470" s="748" t="s">
        <v>1586</v>
      </c>
      <c r="M1470" s="783">
        <v>1.89</v>
      </c>
      <c r="N1470" s="283" t="s">
        <v>2283</v>
      </c>
      <c r="O1470" s="374" t="s">
        <v>1862</v>
      </c>
      <c r="P1470" s="283">
        <f t="shared" si="213"/>
        <v>1998</v>
      </c>
      <c r="Q1470" s="283" t="s">
        <v>2283</v>
      </c>
      <c r="R1470" s="283">
        <f t="shared" si="214"/>
        <v>3776.22</v>
      </c>
      <c r="S1470" s="746">
        <v>0.77100000000000002</v>
      </c>
      <c r="T1470" s="283" t="s">
        <v>233</v>
      </c>
      <c r="U1470" s="374" t="s">
        <v>1862</v>
      </c>
      <c r="V1470" s="283">
        <f>V1446</f>
        <v>1998</v>
      </c>
      <c r="W1470" s="744" t="s">
        <v>913</v>
      </c>
      <c r="X1470" s="283">
        <f>V1470*S1470</f>
        <v>1540.46</v>
      </c>
      <c r="AE1470" s="283">
        <f t="shared" si="199"/>
        <v>0</v>
      </c>
    </row>
    <row r="1471" spans="6:31" ht="24" customHeight="1">
      <c r="H1471" s="744" t="s">
        <v>702</v>
      </c>
      <c r="K1471" s="283">
        <f>SUM(K1466:K1469)</f>
        <v>357.51</v>
      </c>
      <c r="O1471" s="374" t="s">
        <v>1863</v>
      </c>
      <c r="Q1471" s="744"/>
      <c r="R1471" s="283">
        <v>0.28000000000000003</v>
      </c>
      <c r="U1471" s="374"/>
      <c r="W1471" s="744"/>
      <c r="X1471" s="283">
        <f>SUM(X1468:X1470)</f>
        <v>3990.33</v>
      </c>
      <c r="AE1471" s="283">
        <f t="shared" ref="AE1471:AE1534" si="215">AG1471</f>
        <v>0</v>
      </c>
    </row>
    <row r="1472" spans="6:31" ht="24" customHeight="1">
      <c r="K1472" s="748" t="s">
        <v>1586</v>
      </c>
      <c r="R1472" s="751">
        <f>SUM(R1459:R1471)</f>
        <v>8405.09</v>
      </c>
      <c r="U1472" s="750" t="s">
        <v>3535</v>
      </c>
      <c r="W1472" s="744"/>
      <c r="X1472" s="751">
        <f>X1471/S1470</f>
        <v>5175.53</v>
      </c>
      <c r="AE1472" s="283">
        <f t="shared" si="215"/>
        <v>0</v>
      </c>
    </row>
    <row r="1473" spans="6:31" ht="24" customHeight="1">
      <c r="H1473" s="757" t="s">
        <v>703</v>
      </c>
      <c r="I1473" s="751"/>
      <c r="J1473" s="745"/>
      <c r="K1473" s="751">
        <f>K1471/6.77</f>
        <v>52.81</v>
      </c>
      <c r="W1473" s="744"/>
      <c r="AE1473" s="283">
        <f t="shared" si="215"/>
        <v>0</v>
      </c>
    </row>
    <row r="1474" spans="6:31" ht="24" customHeight="1">
      <c r="K1474" s="748" t="s">
        <v>2055</v>
      </c>
      <c r="W1474" s="744"/>
      <c r="AE1474" s="283">
        <f t="shared" si="215"/>
        <v>0</v>
      </c>
    </row>
    <row r="1475" spans="6:31" ht="24" customHeight="1">
      <c r="K1475" s="748"/>
      <c r="O1475" s="753" t="s">
        <v>2830</v>
      </c>
      <c r="P1475" s="993" t="s">
        <v>2359</v>
      </c>
      <c r="Q1475" s="993"/>
      <c r="R1475" s="993"/>
      <c r="S1475" s="991"/>
      <c r="T1475" s="991"/>
      <c r="U1475" s="991"/>
      <c r="V1475" s="755"/>
      <c r="W1475" s="755"/>
      <c r="AE1475" s="283">
        <f t="shared" si="215"/>
        <v>0</v>
      </c>
    </row>
    <row r="1476" spans="6:31" ht="24" customHeight="1">
      <c r="K1476" s="748"/>
      <c r="M1476" s="783">
        <v>4.67</v>
      </c>
      <c r="N1476" s="283" t="s">
        <v>913</v>
      </c>
      <c r="O1476" s="374" t="s">
        <v>4262</v>
      </c>
      <c r="P1476" s="283">
        <f>P1459</f>
        <v>325</v>
      </c>
      <c r="Q1476" s="283" t="s">
        <v>913</v>
      </c>
      <c r="R1476" s="283">
        <f>P1476*M1476</f>
        <v>1517.75</v>
      </c>
      <c r="S1476" s="783"/>
      <c r="U1476" s="374"/>
      <c r="W1476" s="744"/>
      <c r="AE1476" s="283">
        <f t="shared" si="215"/>
        <v>0</v>
      </c>
    </row>
    <row r="1477" spans="6:31" ht="24" customHeight="1">
      <c r="G1477" s="283" t="s">
        <v>316</v>
      </c>
      <c r="H1477" s="374" t="s">
        <v>939</v>
      </c>
      <c r="K1477" s="748"/>
      <c r="M1477" s="783">
        <v>0.54</v>
      </c>
      <c r="N1477" s="283" t="s">
        <v>233</v>
      </c>
      <c r="O1477" s="374" t="s">
        <v>1855</v>
      </c>
      <c r="P1477" s="283">
        <f>P1463</f>
        <v>306.89999999999998</v>
      </c>
      <c r="Q1477" s="283" t="s">
        <v>913</v>
      </c>
      <c r="R1477" s="283">
        <f>P1477*M1477</f>
        <v>165.73</v>
      </c>
      <c r="S1477" s="783"/>
      <c r="U1477" s="374"/>
      <c r="W1477" s="744"/>
      <c r="AE1477" s="283">
        <f t="shared" si="215"/>
        <v>0</v>
      </c>
    </row>
    <row r="1478" spans="6:31" ht="24" customHeight="1">
      <c r="G1478" s="283" t="s">
        <v>1586</v>
      </c>
      <c r="H1478" s="748" t="s">
        <v>1586</v>
      </c>
      <c r="K1478" s="748"/>
      <c r="M1478" s="783">
        <v>0.54</v>
      </c>
      <c r="N1478" s="283" t="s">
        <v>233</v>
      </c>
      <c r="O1478" s="374" t="s">
        <v>1862</v>
      </c>
      <c r="P1478" s="283">
        <f>P1470</f>
        <v>1998</v>
      </c>
      <c r="Q1478" s="283" t="s">
        <v>913</v>
      </c>
      <c r="R1478" s="283">
        <f>P1478*M1478</f>
        <v>1078.92</v>
      </c>
      <c r="S1478" s="783"/>
      <c r="U1478" s="374"/>
      <c r="W1478" s="744"/>
      <c r="AE1478" s="283">
        <f t="shared" si="215"/>
        <v>0</v>
      </c>
    </row>
    <row r="1479" spans="6:31" ht="24" customHeight="1">
      <c r="F1479" s="783">
        <v>4.7000000000000002E-3</v>
      </c>
      <c r="G1479" s="283" t="s">
        <v>2151</v>
      </c>
      <c r="H1479" s="374" t="s">
        <v>700</v>
      </c>
      <c r="I1479" s="283">
        <f>K49</f>
        <v>3929.58</v>
      </c>
      <c r="J1479" s="374" t="s">
        <v>2151</v>
      </c>
      <c r="K1479" s="283">
        <f>(F1479*I1479)</f>
        <v>18.47</v>
      </c>
      <c r="M1479" s="783"/>
      <c r="O1479" s="374"/>
      <c r="R1479" s="283">
        <f>SUM(R1476:R1478)</f>
        <v>2762.4</v>
      </c>
      <c r="S1479" s="783"/>
      <c r="U1479" s="374"/>
      <c r="W1479" s="744"/>
      <c r="AE1479" s="283">
        <f t="shared" si="215"/>
        <v>0</v>
      </c>
    </row>
    <row r="1480" spans="6:31" ht="24" customHeight="1">
      <c r="F1480" s="283">
        <v>0.15</v>
      </c>
      <c r="G1480" s="283" t="s">
        <v>560</v>
      </c>
      <c r="H1480" s="374" t="s">
        <v>701</v>
      </c>
      <c r="I1480" s="283">
        <f>C10</f>
        <v>999</v>
      </c>
      <c r="J1480" s="374" t="s">
        <v>560</v>
      </c>
      <c r="K1480" s="283">
        <f>(F1480*I1480)</f>
        <v>149.85</v>
      </c>
      <c r="M1480" s="783"/>
      <c r="O1480" s="750" t="s">
        <v>3535</v>
      </c>
      <c r="R1480" s="751">
        <f>R1479/M1478</f>
        <v>5115.5600000000004</v>
      </c>
      <c r="S1480" s="783"/>
      <c r="U1480" s="374"/>
      <c r="W1480" s="744"/>
      <c r="X1480" s="751"/>
      <c r="AE1480" s="283">
        <f t="shared" si="215"/>
        <v>0</v>
      </c>
    </row>
    <row r="1481" spans="6:31" ht="24" customHeight="1">
      <c r="F1481" s="283">
        <v>0.15</v>
      </c>
      <c r="G1481" s="283" t="s">
        <v>560</v>
      </c>
      <c r="H1481" s="374" t="s">
        <v>823</v>
      </c>
      <c r="I1481" s="283">
        <f>C12</f>
        <v>651</v>
      </c>
      <c r="J1481" s="374" t="s">
        <v>560</v>
      </c>
      <c r="K1481" s="283">
        <f>(F1481*I1481)</f>
        <v>97.65</v>
      </c>
      <c r="M1481" s="783"/>
      <c r="O1481" s="374"/>
      <c r="W1481" s="744"/>
      <c r="AE1481" s="283">
        <f t="shared" si="215"/>
        <v>0</v>
      </c>
    </row>
    <row r="1482" spans="6:31" ht="24" customHeight="1">
      <c r="H1482" s="374" t="s">
        <v>2271</v>
      </c>
      <c r="K1482" s="283">
        <v>0</v>
      </c>
      <c r="O1482" s="753" t="s">
        <v>2831</v>
      </c>
      <c r="P1482" s="751" t="s">
        <v>2359</v>
      </c>
      <c r="Q1482" s="374"/>
      <c r="W1482" s="744"/>
      <c r="AE1482" s="283">
        <f t="shared" si="215"/>
        <v>0</v>
      </c>
    </row>
    <row r="1483" spans="6:31" ht="24" customHeight="1">
      <c r="K1483" s="748" t="s">
        <v>1586</v>
      </c>
      <c r="M1483" s="783">
        <v>7.01</v>
      </c>
      <c r="N1483" s="283" t="s">
        <v>913</v>
      </c>
      <c r="O1483" s="374" t="s">
        <v>4262</v>
      </c>
      <c r="P1483" s="283">
        <f>P1476</f>
        <v>325</v>
      </c>
      <c r="Q1483" s="283" t="s">
        <v>913</v>
      </c>
      <c r="R1483" s="283">
        <f>P1483*M1483</f>
        <v>2278.25</v>
      </c>
      <c r="S1483" s="746">
        <f>0.3028*0.3028</f>
        <v>9.1999999999999998E-2</v>
      </c>
      <c r="T1483" s="283">
        <f>60*S1483</f>
        <v>5.52</v>
      </c>
      <c r="U1483" s="283">
        <f>4.58/10</f>
        <v>0.46</v>
      </c>
      <c r="W1483" s="744"/>
      <c r="AE1483" s="283">
        <f t="shared" si="215"/>
        <v>0</v>
      </c>
    </row>
    <row r="1484" spans="6:31" ht="24" customHeight="1">
      <c r="H1484" s="744" t="s">
        <v>702</v>
      </c>
      <c r="K1484" s="283">
        <f>SUM(K1479:K1482)</f>
        <v>265.97000000000003</v>
      </c>
      <c r="M1484" s="783">
        <v>0.81</v>
      </c>
      <c r="N1484" s="283" t="s">
        <v>233</v>
      </c>
      <c r="O1484" s="374" t="s">
        <v>1855</v>
      </c>
      <c r="P1484" s="283">
        <f>P1477</f>
        <v>306.89999999999998</v>
      </c>
      <c r="Q1484" s="283" t="s">
        <v>913</v>
      </c>
      <c r="R1484" s="283">
        <f>P1484*M1484</f>
        <v>248.59</v>
      </c>
      <c r="W1484" s="744"/>
      <c r="AE1484" s="283">
        <f t="shared" si="215"/>
        <v>0</v>
      </c>
    </row>
    <row r="1485" spans="6:31" ht="24" customHeight="1">
      <c r="K1485" s="748" t="s">
        <v>1586</v>
      </c>
      <c r="M1485" s="783">
        <v>0.81</v>
      </c>
      <c r="N1485" s="283" t="s">
        <v>233</v>
      </c>
      <c r="O1485" s="374" t="s">
        <v>1862</v>
      </c>
      <c r="P1485" s="283">
        <f>P1478</f>
        <v>1998</v>
      </c>
      <c r="Q1485" s="283" t="s">
        <v>913</v>
      </c>
      <c r="R1485" s="283">
        <f>P1485*M1485</f>
        <v>1618.38</v>
      </c>
      <c r="W1485" s="744"/>
      <c r="AE1485" s="283">
        <f t="shared" si="215"/>
        <v>0</v>
      </c>
    </row>
    <row r="1486" spans="6:31" ht="24" customHeight="1">
      <c r="H1486" s="757" t="s">
        <v>703</v>
      </c>
      <c r="I1486" s="751"/>
      <c r="J1486" s="745"/>
      <c r="K1486" s="751">
        <f>K1484/6.77</f>
        <v>39.29</v>
      </c>
      <c r="M1486" s="783"/>
      <c r="O1486" s="374"/>
      <c r="R1486" s="283">
        <f>SUM(R1483:R1485)+0.68</f>
        <v>4145.8999999999996</v>
      </c>
      <c r="W1486" s="744"/>
      <c r="AE1486" s="283">
        <f t="shared" si="215"/>
        <v>0</v>
      </c>
    </row>
    <row r="1487" spans="6:31" ht="24" customHeight="1">
      <c r="K1487" s="748" t="s">
        <v>2055</v>
      </c>
      <c r="M1487" s="783"/>
      <c r="O1487" s="750" t="s">
        <v>3535</v>
      </c>
      <c r="R1487" s="751">
        <f>R1486/M1485</f>
        <v>5118.3999999999996</v>
      </c>
      <c r="W1487" s="744"/>
      <c r="AE1487" s="283">
        <f t="shared" si="215"/>
        <v>0</v>
      </c>
    </row>
    <row r="1488" spans="6:31" ht="24" customHeight="1">
      <c r="K1488" s="748"/>
      <c r="O1488" s="374"/>
      <c r="Q1488" s="744"/>
      <c r="W1488" s="744"/>
      <c r="AE1488" s="283">
        <f t="shared" si="215"/>
        <v>0</v>
      </c>
    </row>
    <row r="1489" spans="6:31" ht="24" customHeight="1">
      <c r="O1489" s="753" t="s">
        <v>3481</v>
      </c>
      <c r="Q1489" s="374"/>
      <c r="W1489" s="744"/>
      <c r="AE1489" s="283">
        <f t="shared" si="215"/>
        <v>0</v>
      </c>
    </row>
    <row r="1490" spans="6:31" ht="24" customHeight="1">
      <c r="M1490" s="783">
        <v>4.42</v>
      </c>
      <c r="N1490" s="283" t="s">
        <v>913</v>
      </c>
      <c r="O1490" s="374" t="s">
        <v>4262</v>
      </c>
      <c r="P1490" s="283">
        <f>P1459</f>
        <v>325</v>
      </c>
      <c r="Q1490" s="283" t="s">
        <v>913</v>
      </c>
      <c r="R1490" s="283">
        <f>P1490*M1490</f>
        <v>1436.5</v>
      </c>
      <c r="W1490" s="744"/>
      <c r="AE1490" s="283">
        <f t="shared" si="215"/>
        <v>0</v>
      </c>
    </row>
    <row r="1491" spans="6:31" ht="24" customHeight="1">
      <c r="M1491" s="783">
        <v>4.72</v>
      </c>
      <c r="N1491" s="283" t="s">
        <v>913</v>
      </c>
      <c r="O1491" s="374" t="s">
        <v>4262</v>
      </c>
      <c r="P1491" s="283">
        <f t="shared" ref="P1491:P1501" si="216">P1460</f>
        <v>325</v>
      </c>
      <c r="Q1491" s="283" t="s">
        <v>913</v>
      </c>
      <c r="R1491" s="283">
        <f t="shared" ref="R1491:R1501" si="217">P1491*M1491</f>
        <v>1534</v>
      </c>
      <c r="W1491" s="744"/>
      <c r="AE1491" s="283">
        <f t="shared" si="215"/>
        <v>0</v>
      </c>
    </row>
    <row r="1492" spans="6:31" ht="24" customHeight="1">
      <c r="M1492" s="783">
        <v>9.06</v>
      </c>
      <c r="N1492" s="283" t="s">
        <v>913</v>
      </c>
      <c r="O1492" s="374" t="s">
        <v>1854</v>
      </c>
      <c r="P1492" s="283">
        <f t="shared" si="216"/>
        <v>325</v>
      </c>
      <c r="Q1492" s="283" t="s">
        <v>913</v>
      </c>
      <c r="R1492" s="283">
        <f t="shared" si="217"/>
        <v>2944.5</v>
      </c>
      <c r="W1492" s="744"/>
      <c r="AE1492" s="283">
        <f t="shared" si="215"/>
        <v>0</v>
      </c>
    </row>
    <row r="1493" spans="6:31" ht="24" customHeight="1">
      <c r="M1493" s="783">
        <v>1.58</v>
      </c>
      <c r="N1493" s="283" t="s">
        <v>913</v>
      </c>
      <c r="O1493" s="374" t="s">
        <v>1854</v>
      </c>
      <c r="P1493" s="283">
        <f t="shared" si="216"/>
        <v>325</v>
      </c>
      <c r="Q1493" s="283" t="s">
        <v>913</v>
      </c>
      <c r="R1493" s="283">
        <f t="shared" si="217"/>
        <v>513.5</v>
      </c>
      <c r="W1493" s="744"/>
      <c r="AE1493" s="283">
        <f t="shared" si="215"/>
        <v>0</v>
      </c>
    </row>
    <row r="1494" spans="6:31" ht="24" customHeight="1">
      <c r="M1494" s="783">
        <v>1.65</v>
      </c>
      <c r="N1494" s="283" t="s">
        <v>233</v>
      </c>
      <c r="O1494" s="374" t="s">
        <v>1855</v>
      </c>
      <c r="P1494" s="283">
        <f t="shared" si="216"/>
        <v>306.89999999999998</v>
      </c>
      <c r="Q1494" s="283" t="s">
        <v>233</v>
      </c>
      <c r="R1494" s="283">
        <f t="shared" si="217"/>
        <v>506.39</v>
      </c>
      <c r="W1494" s="744"/>
      <c r="AE1494" s="283">
        <f t="shared" si="215"/>
        <v>0</v>
      </c>
    </row>
    <row r="1495" spans="6:31" ht="24" customHeight="1">
      <c r="M1495" s="783">
        <v>12.74</v>
      </c>
      <c r="N1495" s="283" t="s">
        <v>826</v>
      </c>
      <c r="O1495" s="374" t="str">
        <f>O1464</f>
        <v>rubber beeding P-41/64</v>
      </c>
      <c r="P1495" s="283">
        <f t="shared" si="216"/>
        <v>29.05</v>
      </c>
      <c r="Q1495" s="283" t="s">
        <v>826</v>
      </c>
      <c r="R1495" s="283">
        <f t="shared" si="217"/>
        <v>370.1</v>
      </c>
      <c r="W1495" s="744"/>
      <c r="AE1495" s="283">
        <f t="shared" si="215"/>
        <v>0</v>
      </c>
    </row>
    <row r="1496" spans="6:31" ht="24" customHeight="1">
      <c r="M1496" s="783">
        <v>12</v>
      </c>
      <c r="N1496" s="283" t="s">
        <v>769</v>
      </c>
      <c r="O1496" s="374" t="str">
        <f>O1465</f>
        <v>hinges 75mm x 30 mm P-41/77 b</v>
      </c>
      <c r="P1496" s="283">
        <f t="shared" si="216"/>
        <v>71.900000000000006</v>
      </c>
      <c r="Q1496" s="283" t="s">
        <v>769</v>
      </c>
      <c r="R1496" s="283">
        <f t="shared" si="217"/>
        <v>862.8</v>
      </c>
      <c r="W1496" s="744"/>
      <c r="AE1496" s="283">
        <f t="shared" si="215"/>
        <v>0</v>
      </c>
    </row>
    <row r="1497" spans="6:31" ht="24" customHeight="1">
      <c r="M1497" s="783">
        <v>6</v>
      </c>
      <c r="N1497" s="283" t="s">
        <v>769</v>
      </c>
      <c r="O1497" s="374" t="str">
        <f>O1466</f>
        <v>handle 150 mm long p-42 /80b</v>
      </c>
      <c r="P1497" s="283">
        <f t="shared" si="216"/>
        <v>57.65</v>
      </c>
      <c r="Q1497" s="283" t="s">
        <v>769</v>
      </c>
      <c r="R1497" s="283">
        <f t="shared" si="217"/>
        <v>345.9</v>
      </c>
      <c r="W1497" s="744"/>
      <c r="AE1497" s="283">
        <f t="shared" si="215"/>
        <v>0</v>
      </c>
    </row>
    <row r="1498" spans="6:31" ht="24" customHeight="1">
      <c r="M1498" s="783">
        <v>6</v>
      </c>
      <c r="N1498" s="283" t="s">
        <v>769</v>
      </c>
      <c r="O1498" s="374" t="s">
        <v>1859</v>
      </c>
      <c r="P1498" s="283">
        <f t="shared" si="216"/>
        <v>30</v>
      </c>
      <c r="Q1498" s="283" t="s">
        <v>769</v>
      </c>
      <c r="R1498" s="283">
        <f t="shared" si="217"/>
        <v>180</v>
      </c>
      <c r="W1498" s="744"/>
      <c r="AE1498" s="283">
        <f t="shared" si="215"/>
        <v>0</v>
      </c>
    </row>
    <row r="1499" spans="6:31" ht="24" customHeight="1">
      <c r="M1499" s="783">
        <v>6</v>
      </c>
      <c r="N1499" s="283" t="s">
        <v>769</v>
      </c>
      <c r="O1499" s="374" t="s">
        <v>1860</v>
      </c>
      <c r="P1499" s="283">
        <f t="shared" si="216"/>
        <v>20</v>
      </c>
      <c r="Q1499" s="283" t="s">
        <v>769</v>
      </c>
      <c r="R1499" s="283">
        <f t="shared" si="217"/>
        <v>120</v>
      </c>
      <c r="W1499" s="744"/>
      <c r="AE1499" s="283">
        <f t="shared" si="215"/>
        <v>0</v>
      </c>
    </row>
    <row r="1500" spans="6:31" ht="24" customHeight="1">
      <c r="M1500" s="783">
        <v>4</v>
      </c>
      <c r="N1500" s="283" t="s">
        <v>769</v>
      </c>
      <c r="O1500" s="374" t="s">
        <v>1861</v>
      </c>
      <c r="P1500" s="283">
        <f t="shared" si="216"/>
        <v>15</v>
      </c>
      <c r="Q1500" s="283" t="s">
        <v>769</v>
      </c>
      <c r="R1500" s="283">
        <f t="shared" si="217"/>
        <v>60</v>
      </c>
      <c r="W1500" s="744"/>
      <c r="AE1500" s="283">
        <f t="shared" si="215"/>
        <v>0</v>
      </c>
    </row>
    <row r="1501" spans="6:31" ht="24" customHeight="1">
      <c r="F1501" s="744" t="s">
        <v>848</v>
      </c>
      <c r="G1501" s="283" t="s">
        <v>2251</v>
      </c>
      <c r="H1501" s="374" t="s">
        <v>998</v>
      </c>
      <c r="M1501" s="783">
        <f>1.5*1.35</f>
        <v>2.0249999999999999</v>
      </c>
      <c r="N1501" s="283" t="s">
        <v>2283</v>
      </c>
      <c r="O1501" s="374" t="s">
        <v>1862</v>
      </c>
      <c r="P1501" s="283">
        <f t="shared" si="216"/>
        <v>1998</v>
      </c>
      <c r="Q1501" s="283" t="s">
        <v>2283</v>
      </c>
      <c r="R1501" s="283">
        <f t="shared" si="217"/>
        <v>4045.95</v>
      </c>
      <c r="W1501" s="744"/>
      <c r="AE1501" s="283">
        <f t="shared" si="215"/>
        <v>0</v>
      </c>
    </row>
    <row r="1502" spans="6:31" ht="24" customHeight="1">
      <c r="H1502" s="374" t="s">
        <v>999</v>
      </c>
      <c r="O1502" s="374" t="s">
        <v>1863</v>
      </c>
      <c r="Q1502" s="744"/>
      <c r="R1502" s="283">
        <v>0.31</v>
      </c>
      <c r="W1502" s="744"/>
      <c r="AE1502" s="283">
        <f t="shared" si="215"/>
        <v>0</v>
      </c>
    </row>
    <row r="1503" spans="6:31" ht="24" customHeight="1">
      <c r="H1503" s="374" t="s">
        <v>1000</v>
      </c>
      <c r="R1503" s="751">
        <f>SUM(R1490:R1502)</f>
        <v>12919.95</v>
      </c>
      <c r="W1503" s="744"/>
      <c r="AE1503" s="283">
        <f t="shared" si="215"/>
        <v>0</v>
      </c>
    </row>
    <row r="1504" spans="6:31" ht="24" customHeight="1">
      <c r="H1504" s="374" t="s">
        <v>28</v>
      </c>
      <c r="W1504" s="744"/>
      <c r="AE1504" s="283">
        <f t="shared" si="215"/>
        <v>0</v>
      </c>
    </row>
    <row r="1505" spans="6:31" ht="24" customHeight="1">
      <c r="H1505" s="748" t="s">
        <v>1586</v>
      </c>
      <c r="W1505" s="744"/>
      <c r="AE1505" s="283">
        <f t="shared" si="215"/>
        <v>0</v>
      </c>
    </row>
    <row r="1506" spans="6:31" ht="24" customHeight="1">
      <c r="F1506" s="283">
        <v>4.8</v>
      </c>
      <c r="G1506" s="283" t="s">
        <v>1645</v>
      </c>
      <c r="H1506" s="374" t="s">
        <v>440</v>
      </c>
      <c r="I1506" s="283">
        <f>(C272)</f>
        <v>49.85</v>
      </c>
      <c r="J1506" s="374" t="s">
        <v>1645</v>
      </c>
      <c r="K1506" s="283">
        <f>(F1506*I1506)</f>
        <v>239.28</v>
      </c>
      <c r="W1506" s="744"/>
      <c r="AE1506" s="283">
        <f t="shared" si="215"/>
        <v>0</v>
      </c>
    </row>
    <row r="1507" spans="6:31" ht="24" customHeight="1">
      <c r="F1507" s="283">
        <v>0.75</v>
      </c>
      <c r="G1507" s="283" t="s">
        <v>868</v>
      </c>
      <c r="H1507" s="374" t="s">
        <v>29</v>
      </c>
      <c r="I1507" s="283">
        <f>(C14)</f>
        <v>797</v>
      </c>
      <c r="J1507" s="374" t="s">
        <v>868</v>
      </c>
      <c r="K1507" s="283">
        <f>(F1507*I1507)</f>
        <v>597.75</v>
      </c>
      <c r="W1507" s="744"/>
      <c r="AE1507" s="283">
        <f t="shared" si="215"/>
        <v>0</v>
      </c>
    </row>
    <row r="1508" spans="6:31" ht="24" customHeight="1">
      <c r="F1508" s="283">
        <v>0.75</v>
      </c>
      <c r="G1508" s="283" t="s">
        <v>868</v>
      </c>
      <c r="H1508" s="374" t="s">
        <v>934</v>
      </c>
      <c r="I1508" s="283">
        <f>(C12)</f>
        <v>651</v>
      </c>
      <c r="J1508" s="374" t="s">
        <v>868</v>
      </c>
      <c r="K1508" s="283">
        <f>(F1508*I1508)</f>
        <v>488.25</v>
      </c>
      <c r="W1508" s="744"/>
      <c r="AE1508" s="283">
        <f t="shared" si="215"/>
        <v>0</v>
      </c>
    </row>
    <row r="1509" spans="6:31" ht="24" customHeight="1">
      <c r="F1509" s="283">
        <v>1.2</v>
      </c>
      <c r="G1509" s="283" t="s">
        <v>868</v>
      </c>
      <c r="H1509" s="374" t="s">
        <v>320</v>
      </c>
      <c r="I1509" s="283">
        <f>(C13)</f>
        <v>534</v>
      </c>
      <c r="J1509" s="374" t="s">
        <v>868</v>
      </c>
      <c r="K1509" s="283">
        <f>(F1509*I1509)</f>
        <v>640.79999999999995</v>
      </c>
      <c r="W1509" s="744"/>
      <c r="AE1509" s="283">
        <f t="shared" si="215"/>
        <v>0</v>
      </c>
    </row>
    <row r="1510" spans="6:31" ht="24" customHeight="1">
      <c r="G1510" s="283" t="s">
        <v>449</v>
      </c>
      <c r="H1510" s="374" t="s">
        <v>1836</v>
      </c>
      <c r="I1510" s="374" t="s">
        <v>975</v>
      </c>
      <c r="J1510" s="374" t="s">
        <v>449</v>
      </c>
      <c r="K1510" s="283">
        <v>1.5</v>
      </c>
      <c r="W1510" s="744"/>
      <c r="AE1510" s="283">
        <f t="shared" si="215"/>
        <v>0</v>
      </c>
    </row>
    <row r="1511" spans="6:31" ht="24" customHeight="1">
      <c r="K1511" s="748" t="s">
        <v>1586</v>
      </c>
      <c r="W1511" s="744"/>
      <c r="AE1511" s="283">
        <f t="shared" si="215"/>
        <v>0</v>
      </c>
    </row>
    <row r="1512" spans="6:31" ht="24" customHeight="1">
      <c r="H1512" s="374" t="s">
        <v>441</v>
      </c>
      <c r="K1512" s="283">
        <f>SUM(K1506:K1510)</f>
        <v>1967.58</v>
      </c>
      <c r="W1512" s="744"/>
      <c r="AE1512" s="283">
        <f t="shared" si="215"/>
        <v>0</v>
      </c>
    </row>
    <row r="1513" spans="6:31" ht="24" customHeight="1">
      <c r="K1513" s="748" t="s">
        <v>1586</v>
      </c>
      <c r="W1513" s="744"/>
      <c r="AE1513" s="283">
        <f t="shared" si="215"/>
        <v>0</v>
      </c>
    </row>
    <row r="1514" spans="6:31" ht="24" customHeight="1">
      <c r="H1514" s="757" t="s">
        <v>552</v>
      </c>
      <c r="I1514" s="751"/>
      <c r="J1514" s="745"/>
      <c r="K1514" s="751">
        <f>(K1512/10)</f>
        <v>196.76</v>
      </c>
      <c r="W1514" s="744"/>
      <c r="AE1514" s="283">
        <f t="shared" si="215"/>
        <v>0</v>
      </c>
    </row>
    <row r="1515" spans="6:31" ht="24" customHeight="1">
      <c r="K1515" s="748" t="s">
        <v>2055</v>
      </c>
      <c r="W1515" s="744"/>
      <c r="AE1515" s="283">
        <f t="shared" si="215"/>
        <v>0</v>
      </c>
    </row>
    <row r="1516" spans="6:31" ht="24" customHeight="1">
      <c r="F1516" s="744" t="s">
        <v>30</v>
      </c>
      <c r="G1516" s="283" t="s">
        <v>2251</v>
      </c>
      <c r="H1516" s="744" t="s">
        <v>1968</v>
      </c>
      <c r="W1516" s="744"/>
      <c r="AE1516" s="283">
        <f t="shared" si="215"/>
        <v>0</v>
      </c>
    </row>
    <row r="1517" spans="6:31" ht="24" customHeight="1">
      <c r="H1517" s="744" t="s">
        <v>32</v>
      </c>
      <c r="M1517" s="744"/>
      <c r="N1517" s="283" t="s">
        <v>2251</v>
      </c>
      <c r="O1517" s="374" t="s">
        <v>1989</v>
      </c>
      <c r="Q1517" s="374"/>
      <c r="W1517" s="744"/>
      <c r="AE1517" s="283">
        <f t="shared" si="215"/>
        <v>0</v>
      </c>
    </row>
    <row r="1518" spans="6:31" ht="24" customHeight="1">
      <c r="F1518" s="283">
        <v>3.08</v>
      </c>
      <c r="G1518" s="283" t="s">
        <v>1370</v>
      </c>
      <c r="H1518" s="374" t="s">
        <v>31</v>
      </c>
      <c r="I1518" s="283">
        <f>E272</f>
        <v>158</v>
      </c>
      <c r="J1518" s="374" t="s">
        <v>1370</v>
      </c>
      <c r="K1518" s="283">
        <f>(F1518*I1518)</f>
        <v>486.64</v>
      </c>
      <c r="O1518" s="374" t="s">
        <v>999</v>
      </c>
      <c r="Q1518" s="374"/>
      <c r="W1518" s="744"/>
      <c r="AE1518" s="283">
        <f t="shared" si="215"/>
        <v>0</v>
      </c>
    </row>
    <row r="1519" spans="6:31" ht="24" customHeight="1">
      <c r="F1519" s="283">
        <v>0.5</v>
      </c>
      <c r="G1519" s="283" t="s">
        <v>560</v>
      </c>
      <c r="H1519" s="374" t="s">
        <v>1371</v>
      </c>
      <c r="I1519" s="283">
        <f>C14</f>
        <v>797</v>
      </c>
      <c r="J1519" s="374" t="s">
        <v>560</v>
      </c>
      <c r="K1519" s="283">
        <f>(F1519*I1519)</f>
        <v>398.5</v>
      </c>
      <c r="O1519" s="374" t="s">
        <v>1000</v>
      </c>
      <c r="Q1519" s="374"/>
      <c r="W1519" s="744"/>
      <c r="AE1519" s="283">
        <f t="shared" si="215"/>
        <v>0</v>
      </c>
    </row>
    <row r="1520" spans="6:31" ht="24" customHeight="1">
      <c r="F1520" s="283">
        <v>0.5</v>
      </c>
      <c r="G1520" s="283" t="s">
        <v>560</v>
      </c>
      <c r="H1520" s="374" t="s">
        <v>823</v>
      </c>
      <c r="I1520" s="283">
        <f>C12</f>
        <v>651</v>
      </c>
      <c r="J1520" s="374" t="s">
        <v>560</v>
      </c>
      <c r="K1520" s="283">
        <f>(F1520*I1520)</f>
        <v>325.5</v>
      </c>
      <c r="O1520" s="374" t="s">
        <v>28</v>
      </c>
      <c r="Q1520" s="374"/>
      <c r="W1520" s="744"/>
      <c r="AE1520" s="283">
        <f t="shared" si="215"/>
        <v>0</v>
      </c>
    </row>
    <row r="1521" spans="6:31" ht="24" customHeight="1">
      <c r="F1521" s="283">
        <v>0.8</v>
      </c>
      <c r="G1521" s="283" t="s">
        <v>560</v>
      </c>
      <c r="H1521" s="374" t="s">
        <v>1372</v>
      </c>
      <c r="I1521" s="283">
        <f>C13</f>
        <v>534</v>
      </c>
      <c r="J1521" s="374" t="s">
        <v>560</v>
      </c>
      <c r="K1521" s="283">
        <f>(F1521*I1521)</f>
        <v>427.2</v>
      </c>
      <c r="O1521" s="748" t="s">
        <v>1586</v>
      </c>
      <c r="Q1521" s="374"/>
      <c r="W1521" s="744"/>
      <c r="AE1521" s="283">
        <f t="shared" si="215"/>
        <v>0</v>
      </c>
    </row>
    <row r="1522" spans="6:31" ht="24" customHeight="1">
      <c r="G1522" s="283" t="s">
        <v>449</v>
      </c>
      <c r="H1522" s="374" t="s">
        <v>1836</v>
      </c>
      <c r="J1522" s="374" t="s">
        <v>449</v>
      </c>
      <c r="K1522" s="283">
        <v>1.5</v>
      </c>
      <c r="M1522" s="283">
        <v>2.1800000000000002</v>
      </c>
      <c r="N1522" s="283" t="s">
        <v>1645</v>
      </c>
      <c r="O1522" s="374" t="s">
        <v>1990</v>
      </c>
      <c r="P1522" s="283">
        <v>70</v>
      </c>
      <c r="Q1522" s="374" t="s">
        <v>1645</v>
      </c>
      <c r="R1522" s="283">
        <f>M1522*P1522</f>
        <v>152.6</v>
      </c>
      <c r="W1522" s="744"/>
      <c r="AE1522" s="283">
        <f t="shared" si="215"/>
        <v>0</v>
      </c>
    </row>
    <row r="1523" spans="6:31" ht="24" customHeight="1">
      <c r="M1523" s="283">
        <v>0.75</v>
      </c>
      <c r="N1523" s="283" t="s">
        <v>868</v>
      </c>
      <c r="O1523" s="374" t="s">
        <v>29</v>
      </c>
      <c r="P1523" s="283">
        <f>C14</f>
        <v>797</v>
      </c>
      <c r="Q1523" s="374" t="s">
        <v>868</v>
      </c>
      <c r="R1523" s="283">
        <f>M1523*P1523</f>
        <v>597.75</v>
      </c>
      <c r="W1523" s="744"/>
      <c r="AE1523" s="283">
        <f t="shared" si="215"/>
        <v>0</v>
      </c>
    </row>
    <row r="1524" spans="6:31" ht="24" customHeight="1">
      <c r="K1524" s="748" t="s">
        <v>1586</v>
      </c>
      <c r="M1524" s="283">
        <v>0.75</v>
      </c>
      <c r="N1524" s="283" t="s">
        <v>868</v>
      </c>
      <c r="O1524" s="374" t="s">
        <v>934</v>
      </c>
      <c r="P1524" s="283">
        <f>C12</f>
        <v>651</v>
      </c>
      <c r="Q1524" s="374" t="s">
        <v>868</v>
      </c>
      <c r="R1524" s="283">
        <f>M1524*P1524</f>
        <v>488.25</v>
      </c>
      <c r="W1524" s="744"/>
      <c r="AE1524" s="283">
        <f t="shared" si="215"/>
        <v>0</v>
      </c>
    </row>
    <row r="1525" spans="6:31" ht="24" customHeight="1">
      <c r="H1525" s="744" t="s">
        <v>1373</v>
      </c>
      <c r="K1525" s="283">
        <f>SUM(K1518:K1522)</f>
        <v>1639.34</v>
      </c>
      <c r="M1525" s="283">
        <v>1.2</v>
      </c>
      <c r="N1525" s="283" t="s">
        <v>868</v>
      </c>
      <c r="O1525" s="374" t="s">
        <v>320</v>
      </c>
      <c r="P1525" s="283">
        <f>C13</f>
        <v>534</v>
      </c>
      <c r="Q1525" s="374" t="s">
        <v>868</v>
      </c>
      <c r="R1525" s="283">
        <f>M1525*P1525</f>
        <v>640.79999999999995</v>
      </c>
      <c r="W1525" s="744"/>
      <c r="AE1525" s="283">
        <f t="shared" si="215"/>
        <v>0</v>
      </c>
    </row>
    <row r="1526" spans="6:31" ht="24" customHeight="1">
      <c r="K1526" s="748" t="s">
        <v>1586</v>
      </c>
      <c r="N1526" s="283" t="s">
        <v>449</v>
      </c>
      <c r="O1526" s="374" t="s">
        <v>1836</v>
      </c>
      <c r="P1526" s="374" t="s">
        <v>975</v>
      </c>
      <c r="Q1526" s="374" t="s">
        <v>449</v>
      </c>
      <c r="R1526" s="283">
        <v>1.5</v>
      </c>
      <c r="W1526" s="744"/>
      <c r="AE1526" s="283">
        <f t="shared" si="215"/>
        <v>0</v>
      </c>
    </row>
    <row r="1527" spans="6:31" ht="24" customHeight="1">
      <c r="F1527" s="374" t="s">
        <v>975</v>
      </c>
      <c r="G1527" s="283" t="s">
        <v>975</v>
      </c>
      <c r="H1527" s="757" t="s">
        <v>1695</v>
      </c>
      <c r="I1527" s="745" t="s">
        <v>975</v>
      </c>
      <c r="J1527" s="745" t="s">
        <v>975</v>
      </c>
      <c r="K1527" s="751">
        <f>K1525/10</f>
        <v>163.93</v>
      </c>
      <c r="Q1527" s="374"/>
      <c r="R1527" s="748" t="s">
        <v>1586</v>
      </c>
      <c r="W1527" s="744"/>
      <c r="AE1527" s="283">
        <f t="shared" si="215"/>
        <v>0</v>
      </c>
    </row>
    <row r="1528" spans="6:31" ht="24" customHeight="1">
      <c r="K1528" s="748" t="s">
        <v>2055</v>
      </c>
      <c r="O1528" s="374" t="s">
        <v>441</v>
      </c>
      <c r="Q1528" s="374"/>
      <c r="R1528" s="283">
        <f>SUM(R1522:R1526)</f>
        <v>1880.9</v>
      </c>
      <c r="W1528" s="744"/>
      <c r="AE1528" s="283">
        <f t="shared" si="215"/>
        <v>0</v>
      </c>
    </row>
    <row r="1529" spans="6:31" ht="24" customHeight="1">
      <c r="F1529" s="744" t="s">
        <v>1374</v>
      </c>
      <c r="G1529" s="283" t="s">
        <v>2251</v>
      </c>
      <c r="H1529" s="374" t="s">
        <v>493</v>
      </c>
      <c r="Q1529" s="374"/>
      <c r="R1529" s="748" t="s">
        <v>1586</v>
      </c>
      <c r="W1529" s="744"/>
      <c r="AE1529" s="283">
        <f t="shared" si="215"/>
        <v>0</v>
      </c>
    </row>
    <row r="1530" spans="6:31" ht="24" customHeight="1">
      <c r="H1530" s="374" t="s">
        <v>1376</v>
      </c>
      <c r="O1530" s="374" t="s">
        <v>552</v>
      </c>
      <c r="Q1530" s="374"/>
      <c r="R1530" s="283">
        <f>(R1528/10)</f>
        <v>188.09</v>
      </c>
      <c r="W1530" s="744"/>
      <c r="AE1530" s="283">
        <f t="shared" si="215"/>
        <v>0</v>
      </c>
    </row>
    <row r="1531" spans="6:31" ht="24" customHeight="1">
      <c r="H1531" s="374" t="s">
        <v>1969</v>
      </c>
      <c r="Q1531" s="374"/>
      <c r="R1531" s="748" t="s">
        <v>2055</v>
      </c>
      <c r="W1531" s="744"/>
      <c r="AE1531" s="283">
        <f t="shared" si="215"/>
        <v>0</v>
      </c>
    </row>
    <row r="1532" spans="6:31" ht="24" customHeight="1">
      <c r="H1532" s="748" t="s">
        <v>1586</v>
      </c>
      <c r="L1532" s="804"/>
      <c r="M1532" s="805"/>
      <c r="N1532" s="989" t="s">
        <v>4371</v>
      </c>
      <c r="O1532" s="989"/>
      <c r="P1532" s="989"/>
      <c r="Q1532" s="989"/>
      <c r="R1532" s="989"/>
      <c r="W1532" s="744"/>
      <c r="AE1532" s="283">
        <f t="shared" si="215"/>
        <v>0</v>
      </c>
    </row>
    <row r="1533" spans="6:31" ht="24" customHeight="1">
      <c r="F1533" s="283">
        <v>1.44</v>
      </c>
      <c r="G1533" s="283" t="s">
        <v>1238</v>
      </c>
      <c r="H1533" s="374" t="s">
        <v>1178</v>
      </c>
      <c r="I1533" s="283">
        <f>(C197)</f>
        <v>147.5</v>
      </c>
      <c r="J1533" s="374" t="s">
        <v>1238</v>
      </c>
      <c r="K1533" s="283">
        <f>(F1533*I1533)</f>
        <v>212.4</v>
      </c>
      <c r="L1533" s="806"/>
      <c r="M1533" s="807"/>
      <c r="N1533" s="805"/>
      <c r="O1533" s="808" t="s">
        <v>4372</v>
      </c>
      <c r="P1533" s="805"/>
      <c r="Q1533" s="805"/>
      <c r="R1533" s="805"/>
      <c r="W1533" s="744"/>
      <c r="AE1533" s="283">
        <f t="shared" si="215"/>
        <v>0</v>
      </c>
    </row>
    <row r="1534" spans="6:31" ht="24" customHeight="1">
      <c r="F1534" s="283">
        <v>0.7</v>
      </c>
      <c r="G1534" s="283" t="s">
        <v>769</v>
      </c>
      <c r="H1534" s="374" t="s">
        <v>1179</v>
      </c>
      <c r="I1534" s="283">
        <f>(C14)</f>
        <v>797</v>
      </c>
      <c r="J1534" s="374" t="s">
        <v>769</v>
      </c>
      <c r="K1534" s="283">
        <f>(F1534*I1534)</f>
        <v>557.9</v>
      </c>
      <c r="L1534" s="806"/>
      <c r="M1534" s="807"/>
      <c r="N1534" s="805"/>
      <c r="O1534" s="809"/>
      <c r="P1534" s="805"/>
      <c r="Q1534" s="805"/>
      <c r="R1534" s="805"/>
      <c r="W1534" s="744"/>
      <c r="AE1534" s="283">
        <f t="shared" si="215"/>
        <v>0</v>
      </c>
    </row>
    <row r="1535" spans="6:31" ht="24" customHeight="1">
      <c r="F1535" s="283">
        <v>2.5499999999999998</v>
      </c>
      <c r="G1535" s="283" t="s">
        <v>1238</v>
      </c>
      <c r="H1535" s="374" t="s">
        <v>1180</v>
      </c>
      <c r="I1535" s="283">
        <f>(C196)</f>
        <v>238.9</v>
      </c>
      <c r="J1535" s="374" t="s">
        <v>1238</v>
      </c>
      <c r="K1535" s="283">
        <f>(F1535*I1535)</f>
        <v>609.20000000000005</v>
      </c>
      <c r="L1535" s="806"/>
      <c r="M1535" s="807"/>
      <c r="N1535" s="805"/>
      <c r="O1535" s="809"/>
      <c r="P1535" s="805"/>
      <c r="Q1535" s="805"/>
      <c r="R1535" s="805"/>
      <c r="W1535" s="744"/>
      <c r="AE1535" s="283">
        <f t="shared" ref="AE1535:AE1598" si="218">AG1535</f>
        <v>0</v>
      </c>
    </row>
    <row r="1536" spans="6:31" ht="24" customHeight="1">
      <c r="F1536" s="283">
        <v>1.2</v>
      </c>
      <c r="G1536" s="283" t="s">
        <v>769</v>
      </c>
      <c r="H1536" s="374" t="s">
        <v>1179</v>
      </c>
      <c r="I1536" s="283">
        <f>(C14)</f>
        <v>797</v>
      </c>
      <c r="J1536" s="374" t="s">
        <v>769</v>
      </c>
      <c r="K1536" s="283">
        <f>(F1536*I1536)</f>
        <v>956.4</v>
      </c>
      <c r="L1536" s="806"/>
      <c r="M1536" s="807">
        <v>19.13</v>
      </c>
      <c r="N1536" s="805" t="s">
        <v>913</v>
      </c>
      <c r="O1536" s="809" t="s">
        <v>3934</v>
      </c>
      <c r="P1536" s="805">
        <f>P1490</f>
        <v>325</v>
      </c>
      <c r="Q1536" s="805" t="s">
        <v>913</v>
      </c>
      <c r="R1536" s="805">
        <f>P1536*M1536</f>
        <v>6217.25</v>
      </c>
      <c r="W1536" s="744"/>
      <c r="AE1536" s="283">
        <f t="shared" si="218"/>
        <v>0</v>
      </c>
    </row>
    <row r="1537" spans="6:31" ht="24" customHeight="1">
      <c r="G1537" s="283" t="s">
        <v>449</v>
      </c>
      <c r="H1537" s="374" t="s">
        <v>1181</v>
      </c>
      <c r="I1537" s="374" t="s">
        <v>975</v>
      </c>
      <c r="J1537" s="374" t="s">
        <v>449</v>
      </c>
      <c r="K1537" s="283">
        <v>1.5</v>
      </c>
      <c r="L1537" s="806"/>
      <c r="M1537" s="807">
        <v>2.97</v>
      </c>
      <c r="N1537" s="805" t="s">
        <v>233</v>
      </c>
      <c r="O1537" s="809" t="s">
        <v>3918</v>
      </c>
      <c r="P1537" s="805">
        <f>P1494</f>
        <v>306.89999999999998</v>
      </c>
      <c r="Q1537" s="805" t="s">
        <v>233</v>
      </c>
      <c r="R1537" s="805">
        <f t="shared" ref="R1537:R1542" si="219">P1537*M1537</f>
        <v>911.49</v>
      </c>
      <c r="W1537" s="744"/>
      <c r="AE1537" s="283">
        <f t="shared" si="218"/>
        <v>0</v>
      </c>
    </row>
    <row r="1538" spans="6:31" ht="24" customHeight="1">
      <c r="K1538" s="748" t="s">
        <v>1586</v>
      </c>
      <c r="L1538" s="806"/>
      <c r="M1538" s="807">
        <v>15.3</v>
      </c>
      <c r="N1538" s="805" t="s">
        <v>826</v>
      </c>
      <c r="O1538" s="809" t="s">
        <v>3917</v>
      </c>
      <c r="P1538" s="805">
        <f>P1495</f>
        <v>29.05</v>
      </c>
      <c r="Q1538" s="805" t="s">
        <v>826</v>
      </c>
      <c r="R1538" s="805">
        <f t="shared" si="219"/>
        <v>444.47</v>
      </c>
      <c r="W1538" s="744"/>
      <c r="AE1538" s="283">
        <f t="shared" si="218"/>
        <v>0</v>
      </c>
    </row>
    <row r="1539" spans="6:31" ht="24" customHeight="1">
      <c r="H1539" s="374" t="s">
        <v>441</v>
      </c>
      <c r="K1539" s="283">
        <f>SUM(K1533:K1537)</f>
        <v>2337.4</v>
      </c>
      <c r="L1539" s="806"/>
      <c r="M1539" s="807">
        <v>3</v>
      </c>
      <c r="N1539" s="805" t="s">
        <v>3926</v>
      </c>
      <c r="O1539" s="809" t="s">
        <v>3940</v>
      </c>
      <c r="P1539" s="805">
        <f>I4010</f>
        <v>350</v>
      </c>
      <c r="Q1539" s="805" t="s">
        <v>769</v>
      </c>
      <c r="R1539" s="805">
        <f t="shared" si="219"/>
        <v>1050</v>
      </c>
      <c r="W1539" s="744"/>
      <c r="AE1539" s="283">
        <f t="shared" si="218"/>
        <v>0</v>
      </c>
    </row>
    <row r="1540" spans="6:31" ht="24" customHeight="1">
      <c r="K1540" s="748" t="s">
        <v>1586</v>
      </c>
      <c r="L1540" s="806"/>
      <c r="M1540" s="807">
        <v>3</v>
      </c>
      <c r="N1540" s="805" t="s">
        <v>769</v>
      </c>
      <c r="O1540" s="809" t="s">
        <v>3919</v>
      </c>
      <c r="P1540" s="805">
        <f>I4011</f>
        <v>57.65</v>
      </c>
      <c r="Q1540" s="805" t="s">
        <v>769</v>
      </c>
      <c r="R1540" s="805">
        <f t="shared" si="219"/>
        <v>172.95</v>
      </c>
      <c r="W1540" s="744"/>
      <c r="AE1540" s="283">
        <f t="shared" si="218"/>
        <v>0</v>
      </c>
    </row>
    <row r="1541" spans="6:31" ht="24" customHeight="1">
      <c r="H1541" s="757" t="s">
        <v>552</v>
      </c>
      <c r="I1541" s="751"/>
      <c r="J1541" s="745"/>
      <c r="K1541" s="751">
        <f>(K1539/10)</f>
        <v>233.74</v>
      </c>
      <c r="L1541" s="806"/>
      <c r="M1541" s="807">
        <v>6</v>
      </c>
      <c r="N1541" s="805" t="s">
        <v>769</v>
      </c>
      <c r="O1541" s="809" t="s">
        <v>3921</v>
      </c>
      <c r="P1541" s="805">
        <f>I3996</f>
        <v>15</v>
      </c>
      <c r="Q1541" s="805" t="s">
        <v>769</v>
      </c>
      <c r="R1541" s="805">
        <f t="shared" si="219"/>
        <v>90</v>
      </c>
      <c r="W1541" s="744"/>
      <c r="AE1541" s="283">
        <f t="shared" si="218"/>
        <v>0</v>
      </c>
    </row>
    <row r="1542" spans="6:31" ht="24" customHeight="1">
      <c r="F1542" s="374" t="s">
        <v>975</v>
      </c>
      <c r="L1542" s="806"/>
      <c r="M1542" s="807">
        <v>2.97</v>
      </c>
      <c r="N1542" s="805" t="s">
        <v>2283</v>
      </c>
      <c r="O1542" s="809" t="s">
        <v>3922</v>
      </c>
      <c r="P1542" s="805">
        <f>R1553</f>
        <v>1998</v>
      </c>
      <c r="Q1542" s="805" t="s">
        <v>2283</v>
      </c>
      <c r="R1542" s="805">
        <f t="shared" si="219"/>
        <v>5934.06</v>
      </c>
      <c r="W1542" s="744"/>
      <c r="AE1542" s="283">
        <f t="shared" si="218"/>
        <v>0</v>
      </c>
    </row>
    <row r="1543" spans="6:31" ht="24" customHeight="1">
      <c r="K1543" s="748" t="s">
        <v>2055</v>
      </c>
      <c r="L1543" s="806"/>
      <c r="M1543" s="807"/>
      <c r="N1543" s="805"/>
      <c r="O1543" s="809" t="s">
        <v>2271</v>
      </c>
      <c r="P1543" s="805"/>
      <c r="Q1543" s="810"/>
      <c r="R1543" s="805">
        <v>3.5</v>
      </c>
      <c r="W1543" s="744"/>
      <c r="AE1543" s="283">
        <f t="shared" si="218"/>
        <v>0</v>
      </c>
    </row>
    <row r="1544" spans="6:31" ht="24" customHeight="1">
      <c r="L1544" s="806"/>
      <c r="M1544" s="805"/>
      <c r="N1544" s="805"/>
      <c r="O1544" s="374" t="s">
        <v>4373</v>
      </c>
      <c r="P1544" s="805"/>
      <c r="Q1544" s="805"/>
      <c r="R1544" s="811">
        <f>SUM(R1536:R1543)</f>
        <v>14823.72</v>
      </c>
      <c r="W1544" s="744"/>
      <c r="AE1544" s="283">
        <f t="shared" si="218"/>
        <v>0</v>
      </c>
    </row>
    <row r="1545" spans="6:31" ht="24" customHeight="1">
      <c r="L1545" s="812"/>
      <c r="M1545" s="805"/>
      <c r="N1545" s="805"/>
      <c r="W1545" s="744"/>
      <c r="AE1545" s="283">
        <f t="shared" si="218"/>
        <v>0</v>
      </c>
    </row>
    <row r="1546" spans="6:31" ht="24" customHeight="1">
      <c r="L1546" s="804"/>
      <c r="M1546" s="805"/>
      <c r="N1546" s="805"/>
      <c r="O1546" s="374" t="s">
        <v>552</v>
      </c>
      <c r="P1546" s="805"/>
      <c r="Q1546" s="805"/>
      <c r="R1546" s="811">
        <f>R1544/2.97</f>
        <v>4991.1499999999996</v>
      </c>
      <c r="S1546" s="746">
        <f>R1546-3740</f>
        <v>1251.1500000000001</v>
      </c>
      <c r="W1546" s="744"/>
      <c r="AE1546" s="283">
        <f t="shared" si="218"/>
        <v>0</v>
      </c>
    </row>
    <row r="1547" spans="6:31" ht="24" customHeight="1">
      <c r="L1547" s="806"/>
      <c r="M1547" s="805"/>
      <c r="N1547" s="805"/>
      <c r="O1547" s="813"/>
      <c r="P1547" s="805"/>
      <c r="Q1547" s="805"/>
      <c r="R1547" s="805"/>
      <c r="W1547" s="744"/>
      <c r="AE1547" s="283">
        <f t="shared" si="218"/>
        <v>0</v>
      </c>
    </row>
    <row r="1548" spans="6:31" ht="24" customHeight="1">
      <c r="L1548" s="806"/>
      <c r="M1548" s="805">
        <v>1</v>
      </c>
      <c r="N1548" s="805" t="s">
        <v>868</v>
      </c>
      <c r="O1548" s="809" t="s">
        <v>6114</v>
      </c>
      <c r="P1548" s="805">
        <f>AE17</f>
        <v>881</v>
      </c>
      <c r="Q1548" s="809" t="s">
        <v>868</v>
      </c>
      <c r="R1548" s="805">
        <f>P1548*M1548</f>
        <v>881</v>
      </c>
      <c r="W1548" s="744"/>
      <c r="AE1548" s="283">
        <f t="shared" si="218"/>
        <v>0</v>
      </c>
    </row>
    <row r="1549" spans="6:31" ht="24" customHeight="1">
      <c r="L1549" s="806"/>
      <c r="M1549" s="805">
        <v>1</v>
      </c>
      <c r="N1549" s="805" t="s">
        <v>868</v>
      </c>
      <c r="O1549" s="809" t="s">
        <v>6115</v>
      </c>
      <c r="P1549" s="805">
        <f>AE11</f>
        <v>651</v>
      </c>
      <c r="Q1549" s="809" t="s">
        <v>868</v>
      </c>
      <c r="R1549" s="805">
        <f>P1549*M1549</f>
        <v>651</v>
      </c>
      <c r="W1549" s="744"/>
      <c r="AE1549" s="283">
        <f t="shared" si="218"/>
        <v>0</v>
      </c>
    </row>
    <row r="1550" spans="6:31" ht="24" customHeight="1">
      <c r="L1550" s="806"/>
      <c r="M1550" s="805">
        <v>0.5</v>
      </c>
      <c r="N1550" s="805" t="s">
        <v>868</v>
      </c>
      <c r="O1550" s="809" t="s">
        <v>6116</v>
      </c>
      <c r="P1550" s="805">
        <f>AE20</f>
        <v>932</v>
      </c>
      <c r="Q1550" s="809" t="s">
        <v>868</v>
      </c>
      <c r="R1550" s="805">
        <f>P1550*M1550</f>
        <v>466</v>
      </c>
      <c r="W1550" s="744"/>
      <c r="AE1550" s="283">
        <f t="shared" si="218"/>
        <v>0</v>
      </c>
    </row>
    <row r="1551" spans="6:31" ht="24" customHeight="1">
      <c r="L1551" s="806"/>
      <c r="M1551" s="805"/>
      <c r="N1551" s="805"/>
      <c r="O1551" s="805"/>
      <c r="P1551" s="805"/>
      <c r="Q1551" s="809"/>
      <c r="R1551" s="805"/>
      <c r="W1551" s="744"/>
      <c r="AE1551" s="283">
        <f t="shared" si="218"/>
        <v>0</v>
      </c>
    </row>
    <row r="1552" spans="6:31" ht="24" customHeight="1">
      <c r="L1552" s="806"/>
      <c r="M1552" s="805"/>
      <c r="N1552" s="805"/>
      <c r="O1552" s="809" t="s">
        <v>3931</v>
      </c>
      <c r="P1552" s="805"/>
      <c r="Q1552" s="809"/>
      <c r="R1552" s="814" t="s">
        <v>1586</v>
      </c>
      <c r="W1552" s="744"/>
      <c r="AE1552" s="283">
        <f t="shared" si="218"/>
        <v>0</v>
      </c>
    </row>
    <row r="1553" spans="6:31" ht="24" customHeight="1">
      <c r="L1553" s="806"/>
      <c r="M1553" s="805"/>
      <c r="N1553" s="805"/>
      <c r="O1553" s="805"/>
      <c r="P1553" s="805"/>
      <c r="Q1553" s="809"/>
      <c r="R1553" s="811">
        <f>SUM(R1548:R1552)</f>
        <v>1998</v>
      </c>
      <c r="W1553" s="744"/>
      <c r="AE1553" s="283">
        <f t="shared" si="218"/>
        <v>0</v>
      </c>
    </row>
    <row r="1554" spans="6:31" ht="24" customHeight="1">
      <c r="L1554" s="806"/>
      <c r="W1554" s="744"/>
      <c r="AE1554" s="283">
        <f t="shared" si="218"/>
        <v>0</v>
      </c>
    </row>
    <row r="1555" spans="6:31" ht="24" customHeight="1">
      <c r="H1555" s="374"/>
      <c r="L1555" s="806"/>
      <c r="W1555" s="744"/>
      <c r="AE1555" s="283">
        <f t="shared" si="218"/>
        <v>0</v>
      </c>
    </row>
    <row r="1556" spans="6:31" ht="24" customHeight="1">
      <c r="H1556" s="374"/>
      <c r="L1556" s="806"/>
      <c r="W1556" s="744"/>
      <c r="AE1556" s="283">
        <f t="shared" si="218"/>
        <v>0</v>
      </c>
    </row>
    <row r="1557" spans="6:31" ht="24" customHeight="1">
      <c r="F1557" s="896">
        <v>238</v>
      </c>
      <c r="G1557" s="815" t="s">
        <v>2251</v>
      </c>
      <c r="H1557" s="816" t="s">
        <v>586</v>
      </c>
      <c r="I1557" s="815"/>
      <c r="J1557" s="816"/>
      <c r="K1557" s="815"/>
      <c r="L1557" s="806"/>
      <c r="W1557" s="744"/>
      <c r="AE1557" s="283">
        <f t="shared" si="218"/>
        <v>0</v>
      </c>
    </row>
    <row r="1558" spans="6:31" ht="24" customHeight="1">
      <c r="F1558" s="817"/>
      <c r="H1558" s="374" t="s">
        <v>1970</v>
      </c>
      <c r="L1558" s="812"/>
      <c r="W1558" s="744"/>
      <c r="AE1558" s="283">
        <f t="shared" si="218"/>
        <v>0</v>
      </c>
    </row>
    <row r="1559" spans="6:31" ht="24" customHeight="1">
      <c r="F1559" s="817"/>
      <c r="H1559" s="748" t="s">
        <v>1586</v>
      </c>
      <c r="W1559" s="744"/>
      <c r="AE1559" s="283">
        <f t="shared" si="218"/>
        <v>0</v>
      </c>
    </row>
    <row r="1560" spans="6:31" ht="24" customHeight="1">
      <c r="F1560" s="817">
        <v>20</v>
      </c>
      <c r="G1560" s="283" t="s">
        <v>1238</v>
      </c>
      <c r="H1560" s="374" t="s">
        <v>6517</v>
      </c>
      <c r="I1560" s="283">
        <f>D40</f>
        <v>116.2</v>
      </c>
      <c r="J1560" s="374" t="s">
        <v>1238</v>
      </c>
      <c r="K1560" s="283">
        <f>(F1560*I1560)</f>
        <v>2324</v>
      </c>
      <c r="W1560" s="744"/>
      <c r="AE1560" s="283">
        <f t="shared" si="218"/>
        <v>0</v>
      </c>
    </row>
    <row r="1561" spans="6:31" ht="24" customHeight="1">
      <c r="F1561" s="817"/>
      <c r="H1561" s="374" t="s">
        <v>588</v>
      </c>
      <c r="K1561" s="374" t="s">
        <v>975</v>
      </c>
      <c r="W1561" s="744"/>
      <c r="AE1561" s="283">
        <f t="shared" si="218"/>
        <v>0</v>
      </c>
    </row>
    <row r="1562" spans="6:31" ht="24" customHeight="1">
      <c r="F1562" s="817">
        <v>50</v>
      </c>
      <c r="G1562" s="283" t="s">
        <v>1645</v>
      </c>
      <c r="H1562" s="374" t="s">
        <v>862</v>
      </c>
      <c r="I1562" s="283">
        <f>C68/1000</f>
        <v>6.04</v>
      </c>
      <c r="J1562" s="374" t="s">
        <v>1645</v>
      </c>
      <c r="K1562" s="283">
        <f>(F1562*I1562)</f>
        <v>302</v>
      </c>
      <c r="W1562" s="744"/>
      <c r="AE1562" s="283">
        <f t="shared" si="218"/>
        <v>0</v>
      </c>
    </row>
    <row r="1563" spans="6:31" ht="24" customHeight="1">
      <c r="F1563" s="817">
        <v>1</v>
      </c>
      <c r="G1563" s="283" t="s">
        <v>449</v>
      </c>
      <c r="H1563" s="374" t="s">
        <v>589</v>
      </c>
      <c r="I1563" s="283">
        <v>75</v>
      </c>
      <c r="J1563" s="374" t="s">
        <v>449</v>
      </c>
      <c r="K1563" s="283">
        <f>(F1563*I1563)</f>
        <v>75</v>
      </c>
      <c r="W1563" s="744"/>
      <c r="AE1563" s="283">
        <f t="shared" si="218"/>
        <v>0</v>
      </c>
    </row>
    <row r="1564" spans="6:31" ht="24" customHeight="1">
      <c r="F1564" s="817">
        <v>1</v>
      </c>
      <c r="G1564" s="283" t="s">
        <v>449</v>
      </c>
      <c r="H1564" s="374" t="s">
        <v>590</v>
      </c>
      <c r="I1564" s="283">
        <f>C38</f>
        <v>40</v>
      </c>
      <c r="J1564" s="374" t="s">
        <v>449</v>
      </c>
      <c r="K1564" s="283">
        <f>(F1564*I1564)</f>
        <v>40</v>
      </c>
      <c r="W1564" s="744"/>
      <c r="AE1564" s="283">
        <f t="shared" si="218"/>
        <v>0</v>
      </c>
    </row>
    <row r="1565" spans="6:31" ht="24" customHeight="1">
      <c r="F1565" s="817">
        <v>2.5</v>
      </c>
      <c r="G1565" s="283" t="s">
        <v>449</v>
      </c>
      <c r="H1565" s="374" t="s">
        <v>591</v>
      </c>
      <c r="I1565" s="283">
        <f>D14</f>
        <v>772</v>
      </c>
      <c r="J1565" s="374" t="s">
        <v>449</v>
      </c>
      <c r="K1565" s="283">
        <f>(F1565*I1565)</f>
        <v>1930</v>
      </c>
      <c r="W1565" s="744"/>
      <c r="AE1565" s="283">
        <f t="shared" si="218"/>
        <v>0</v>
      </c>
    </row>
    <row r="1566" spans="6:31" ht="24" customHeight="1">
      <c r="F1566" s="817"/>
      <c r="G1566" s="283" t="s">
        <v>449</v>
      </c>
      <c r="H1566" s="374" t="s">
        <v>506</v>
      </c>
      <c r="J1566" s="374" t="s">
        <v>449</v>
      </c>
      <c r="K1566" s="784">
        <v>1.5</v>
      </c>
      <c r="W1566" s="744"/>
      <c r="AE1566" s="283">
        <f t="shared" si="218"/>
        <v>0</v>
      </c>
    </row>
    <row r="1567" spans="6:31" ht="24" customHeight="1">
      <c r="F1567" s="817"/>
      <c r="K1567" s="748" t="s">
        <v>1586</v>
      </c>
      <c r="W1567" s="744"/>
      <c r="AE1567" s="283">
        <f t="shared" si="218"/>
        <v>0</v>
      </c>
    </row>
    <row r="1568" spans="6:31" ht="24" customHeight="1">
      <c r="F1568" s="817"/>
      <c r="H1568" s="757" t="s">
        <v>592</v>
      </c>
      <c r="I1568" s="751"/>
      <c r="J1568" s="745"/>
      <c r="K1568" s="751">
        <f>SUM(K1560:K1566)</f>
        <v>4672.5</v>
      </c>
      <c r="W1568" s="744"/>
      <c r="AE1568" s="283">
        <f t="shared" si="218"/>
        <v>0</v>
      </c>
    </row>
    <row r="1569" spans="6:31" ht="24" customHeight="1">
      <c r="F1569" s="817"/>
      <c r="H1569" s="374"/>
      <c r="K1569" s="748" t="s">
        <v>1586</v>
      </c>
      <c r="W1569" s="744"/>
      <c r="AE1569" s="283">
        <f t="shared" si="218"/>
        <v>0</v>
      </c>
    </row>
    <row r="1570" spans="6:31" ht="24" customHeight="1">
      <c r="F1570" s="818"/>
      <c r="G1570" s="819"/>
      <c r="H1570" s="819"/>
      <c r="I1570" s="819"/>
      <c r="J1570" s="820"/>
      <c r="K1570" s="821"/>
      <c r="W1570" s="744"/>
      <c r="AE1570" s="283">
        <f t="shared" si="218"/>
        <v>0</v>
      </c>
    </row>
    <row r="1571" spans="6:31" ht="24" customHeight="1">
      <c r="F1571" s="897" t="s">
        <v>1046</v>
      </c>
      <c r="G1571" s="815" t="s">
        <v>2251</v>
      </c>
      <c r="H1571" s="816" t="s">
        <v>551</v>
      </c>
      <c r="I1571" s="815"/>
      <c r="J1571" s="816"/>
      <c r="K1571" s="815"/>
      <c r="W1571" s="744"/>
      <c r="AE1571" s="283">
        <f t="shared" si="218"/>
        <v>0</v>
      </c>
    </row>
    <row r="1572" spans="6:31" ht="24" customHeight="1">
      <c r="F1572" s="817"/>
      <c r="H1572" s="374" t="s">
        <v>2134</v>
      </c>
      <c r="W1572" s="744"/>
      <c r="AE1572" s="283">
        <f t="shared" si="218"/>
        <v>0</v>
      </c>
    </row>
    <row r="1573" spans="6:31" ht="24" customHeight="1">
      <c r="F1573" s="817"/>
      <c r="H1573" s="748" t="s">
        <v>1586</v>
      </c>
      <c r="W1573" s="744"/>
      <c r="AE1573" s="283">
        <f t="shared" si="218"/>
        <v>0</v>
      </c>
    </row>
    <row r="1574" spans="6:31" ht="24" customHeight="1">
      <c r="F1574" s="817">
        <v>1</v>
      </c>
      <c r="G1574" s="283" t="s">
        <v>526</v>
      </c>
      <c r="H1574" s="374" t="s">
        <v>527</v>
      </c>
      <c r="I1574" s="283">
        <f>(C140)</f>
        <v>58000</v>
      </c>
      <c r="J1574" s="374" t="s">
        <v>528</v>
      </c>
      <c r="K1574" s="283">
        <f>(F1574*I1574)/10</f>
        <v>5800</v>
      </c>
      <c r="W1574" s="744"/>
      <c r="AE1574" s="283">
        <f t="shared" si="218"/>
        <v>0</v>
      </c>
    </row>
    <row r="1575" spans="6:31" ht="24" customHeight="1">
      <c r="F1575" s="822">
        <v>0.01</v>
      </c>
      <c r="G1575" s="283" t="s">
        <v>526</v>
      </c>
      <c r="H1575" s="374" t="s">
        <v>192</v>
      </c>
      <c r="I1575" s="283">
        <f>(C144)</f>
        <v>56350</v>
      </c>
      <c r="J1575" s="374" t="s">
        <v>528</v>
      </c>
      <c r="K1575" s="283">
        <f>(F1575*I1575)/10</f>
        <v>56.35</v>
      </c>
      <c r="W1575" s="744"/>
      <c r="AE1575" s="283">
        <f t="shared" si="218"/>
        <v>0</v>
      </c>
    </row>
    <row r="1576" spans="6:31" ht="24" customHeight="1">
      <c r="F1576" s="822">
        <v>3.5</v>
      </c>
      <c r="G1576" s="283" t="s">
        <v>769</v>
      </c>
      <c r="H1576" s="374" t="s">
        <v>529</v>
      </c>
      <c r="I1576" s="283">
        <f>AE38</f>
        <v>866</v>
      </c>
      <c r="J1576" s="374" t="s">
        <v>1398</v>
      </c>
      <c r="K1576" s="283">
        <f>(F1576*I1576)</f>
        <v>3031</v>
      </c>
      <c r="W1576" s="744"/>
      <c r="AE1576" s="283">
        <f t="shared" si="218"/>
        <v>0</v>
      </c>
    </row>
    <row r="1577" spans="6:31" ht="24" customHeight="1">
      <c r="F1577" s="817">
        <v>1.3</v>
      </c>
      <c r="G1577" s="283" t="s">
        <v>1645</v>
      </c>
      <c r="H1577" s="374" t="s">
        <v>530</v>
      </c>
      <c r="I1577" s="283">
        <f>C68/1000</f>
        <v>6.04</v>
      </c>
      <c r="J1577" s="374" t="s">
        <v>1645</v>
      </c>
      <c r="K1577" s="283">
        <f>(F1577*I1577)</f>
        <v>7.85</v>
      </c>
      <c r="W1577" s="744"/>
      <c r="AE1577" s="283">
        <f t="shared" si="218"/>
        <v>0</v>
      </c>
    </row>
    <row r="1578" spans="6:31" ht="24" customHeight="1">
      <c r="F1578" s="817">
        <v>0.25</v>
      </c>
      <c r="G1578" s="283" t="s">
        <v>769</v>
      </c>
      <c r="H1578" s="374" t="s">
        <v>531</v>
      </c>
      <c r="I1578" s="283">
        <f>D14</f>
        <v>772</v>
      </c>
      <c r="J1578" s="374" t="s">
        <v>1398</v>
      </c>
      <c r="K1578" s="283">
        <f>(F1578*I1578)</f>
        <v>193</v>
      </c>
      <c r="W1578" s="744"/>
      <c r="AE1578" s="283">
        <f t="shared" si="218"/>
        <v>0</v>
      </c>
    </row>
    <row r="1579" spans="6:31" ht="24" customHeight="1">
      <c r="F1579" s="822"/>
      <c r="G1579" s="283" t="s">
        <v>449</v>
      </c>
      <c r="H1579" s="374" t="s">
        <v>450</v>
      </c>
      <c r="J1579" s="374" t="s">
        <v>449</v>
      </c>
      <c r="K1579" s="283">
        <f>(F1579*I1579)</f>
        <v>0</v>
      </c>
      <c r="W1579" s="744"/>
      <c r="AE1579" s="283">
        <f t="shared" si="218"/>
        <v>0</v>
      </c>
    </row>
    <row r="1580" spans="6:31" ht="24" customHeight="1">
      <c r="F1580" s="822"/>
      <c r="K1580" s="748" t="s">
        <v>1586</v>
      </c>
      <c r="W1580" s="744"/>
      <c r="AE1580" s="283">
        <f t="shared" si="218"/>
        <v>0</v>
      </c>
    </row>
    <row r="1581" spans="6:31" ht="24" customHeight="1">
      <c r="F1581" s="822"/>
      <c r="H1581" s="374" t="s">
        <v>532</v>
      </c>
      <c r="K1581" s="283">
        <f>SUM(K1574:K1579)</f>
        <v>9088.2000000000007</v>
      </c>
      <c r="W1581" s="744"/>
      <c r="AE1581" s="283">
        <f t="shared" si="218"/>
        <v>0</v>
      </c>
    </row>
    <row r="1582" spans="6:31" ht="24" customHeight="1">
      <c r="F1582" s="822"/>
      <c r="K1582" s="748" t="s">
        <v>1586</v>
      </c>
      <c r="W1582" s="744"/>
      <c r="AE1582" s="283">
        <f t="shared" si="218"/>
        <v>0</v>
      </c>
    </row>
    <row r="1583" spans="6:31" ht="24" customHeight="1">
      <c r="F1583" s="823"/>
      <c r="G1583" s="819"/>
      <c r="H1583" s="824" t="s">
        <v>533</v>
      </c>
      <c r="I1583" s="825"/>
      <c r="J1583" s="826"/>
      <c r="K1583" s="825">
        <f>(K1581*10)</f>
        <v>90882</v>
      </c>
      <c r="W1583" s="744"/>
      <c r="AE1583" s="283">
        <f t="shared" si="218"/>
        <v>0</v>
      </c>
    </row>
    <row r="1584" spans="6:31" ht="24" customHeight="1">
      <c r="F1584" s="746"/>
      <c r="K1584" s="748"/>
      <c r="W1584" s="744"/>
      <c r="AE1584" s="283">
        <f t="shared" si="218"/>
        <v>0</v>
      </c>
    </row>
    <row r="1585" spans="6:31" ht="24" customHeight="1">
      <c r="F1585" s="746"/>
      <c r="K1585" s="748"/>
      <c r="W1585" s="744"/>
      <c r="AE1585" s="283">
        <f t="shared" si="218"/>
        <v>0</v>
      </c>
    </row>
    <row r="1586" spans="6:31" ht="24" customHeight="1">
      <c r="F1586" s="746"/>
      <c r="H1586" s="751" t="s">
        <v>534</v>
      </c>
      <c r="K1586" s="748"/>
      <c r="W1586" s="744"/>
      <c r="AE1586" s="283">
        <f t="shared" si="218"/>
        <v>0</v>
      </c>
    </row>
    <row r="1587" spans="6:31" ht="24" customHeight="1">
      <c r="F1587" s="283">
        <v>1</v>
      </c>
      <c r="G1587" s="283" t="s">
        <v>526</v>
      </c>
      <c r="H1587" s="374" t="s">
        <v>535</v>
      </c>
      <c r="I1587" s="283">
        <f>C139</f>
        <v>58000</v>
      </c>
      <c r="J1587" s="374" t="s">
        <v>528</v>
      </c>
      <c r="K1587" s="283">
        <f>(F1587*I1587)/10</f>
        <v>5800</v>
      </c>
      <c r="W1587" s="744"/>
      <c r="AE1587" s="283">
        <f t="shared" si="218"/>
        <v>0</v>
      </c>
    </row>
    <row r="1588" spans="6:31" ht="24" customHeight="1">
      <c r="F1588" s="746">
        <v>0.01</v>
      </c>
      <c r="G1588" s="283" t="s">
        <v>526</v>
      </c>
      <c r="H1588" s="374" t="s">
        <v>192</v>
      </c>
      <c r="I1588" s="283">
        <f>C144</f>
        <v>56350</v>
      </c>
      <c r="J1588" s="374" t="s">
        <v>528</v>
      </c>
      <c r="K1588" s="283">
        <f>(F1588*I1588)/10</f>
        <v>56.35</v>
      </c>
      <c r="W1588" s="744"/>
      <c r="AE1588" s="283">
        <f t="shared" si="218"/>
        <v>0</v>
      </c>
    </row>
    <row r="1589" spans="6:31" ht="24" customHeight="1">
      <c r="F1589" s="746">
        <v>3.5</v>
      </c>
      <c r="G1589" s="283" t="s">
        <v>769</v>
      </c>
      <c r="H1589" s="374" t="s">
        <v>529</v>
      </c>
      <c r="I1589" s="283">
        <f>I1576</f>
        <v>866</v>
      </c>
      <c r="J1589" s="374" t="s">
        <v>1398</v>
      </c>
      <c r="K1589" s="283">
        <f>(F1589*I1589)</f>
        <v>3031</v>
      </c>
      <c r="W1589" s="744"/>
      <c r="AE1589" s="283">
        <f t="shared" si="218"/>
        <v>0</v>
      </c>
    </row>
    <row r="1590" spans="6:31" ht="24" customHeight="1">
      <c r="F1590" s="283">
        <v>1.3</v>
      </c>
      <c r="G1590" s="283" t="s">
        <v>1645</v>
      </c>
      <c r="H1590" s="374" t="s">
        <v>530</v>
      </c>
      <c r="I1590" s="283">
        <f>C68/1000</f>
        <v>6.04</v>
      </c>
      <c r="J1590" s="374" t="s">
        <v>1645</v>
      </c>
      <c r="K1590" s="283">
        <f>(F1590*I1590)</f>
        <v>7.85</v>
      </c>
      <c r="W1590" s="744"/>
      <c r="AE1590" s="283">
        <f t="shared" si="218"/>
        <v>0</v>
      </c>
    </row>
    <row r="1591" spans="6:31" ht="24" customHeight="1">
      <c r="F1591" s="283">
        <v>0.25</v>
      </c>
      <c r="G1591" s="283" t="s">
        <v>769</v>
      </c>
      <c r="H1591" s="374" t="s">
        <v>531</v>
      </c>
      <c r="I1591" s="283">
        <f>D14</f>
        <v>772</v>
      </c>
      <c r="J1591" s="374" t="s">
        <v>1398</v>
      </c>
      <c r="K1591" s="283">
        <f>(F1591*I1591)</f>
        <v>193</v>
      </c>
      <c r="W1591" s="744"/>
      <c r="AE1591" s="283">
        <f t="shared" si="218"/>
        <v>0</v>
      </c>
    </row>
    <row r="1592" spans="6:31" ht="24" customHeight="1">
      <c r="F1592" s="746"/>
      <c r="G1592" s="283" t="s">
        <v>449</v>
      </c>
      <c r="H1592" s="374" t="s">
        <v>450</v>
      </c>
      <c r="J1592" s="374" t="s">
        <v>449</v>
      </c>
      <c r="K1592" s="283">
        <f>(F1592*I1592)</f>
        <v>0</v>
      </c>
      <c r="W1592" s="744"/>
      <c r="AE1592" s="283">
        <f t="shared" si="218"/>
        <v>0</v>
      </c>
    </row>
    <row r="1593" spans="6:31" ht="24" customHeight="1">
      <c r="F1593" s="746"/>
      <c r="K1593" s="748" t="s">
        <v>1586</v>
      </c>
      <c r="W1593" s="744"/>
      <c r="AE1593" s="283">
        <f t="shared" si="218"/>
        <v>0</v>
      </c>
    </row>
    <row r="1594" spans="6:31" ht="24" customHeight="1">
      <c r="F1594" s="746"/>
      <c r="H1594" s="374" t="s">
        <v>532</v>
      </c>
      <c r="K1594" s="283">
        <f>SUM(K1587:K1592)</f>
        <v>9088.2000000000007</v>
      </c>
      <c r="W1594" s="744"/>
      <c r="AE1594" s="283">
        <f t="shared" si="218"/>
        <v>0</v>
      </c>
    </row>
    <row r="1595" spans="6:31" ht="24" customHeight="1">
      <c r="F1595" s="746"/>
      <c r="K1595" s="748" t="s">
        <v>1586</v>
      </c>
      <c r="W1595" s="744"/>
      <c r="AE1595" s="283">
        <f t="shared" si="218"/>
        <v>0</v>
      </c>
    </row>
    <row r="1596" spans="6:31" ht="24" customHeight="1">
      <c r="F1596" s="746" t="s">
        <v>975</v>
      </c>
      <c r="H1596" s="757" t="s">
        <v>533</v>
      </c>
      <c r="I1596" s="751"/>
      <c r="J1596" s="745"/>
      <c r="K1596" s="751">
        <f>(K1594*10)</f>
        <v>90882</v>
      </c>
      <c r="W1596" s="744"/>
      <c r="AE1596" s="283">
        <f t="shared" si="218"/>
        <v>0</v>
      </c>
    </row>
    <row r="1597" spans="6:31" ht="24" customHeight="1">
      <c r="F1597" s="746"/>
      <c r="K1597" s="748" t="s">
        <v>2055</v>
      </c>
      <c r="W1597" s="744"/>
      <c r="AE1597" s="283">
        <f t="shared" si="218"/>
        <v>0</v>
      </c>
    </row>
    <row r="1598" spans="6:31" ht="24" customHeight="1">
      <c r="F1598" s="746"/>
      <c r="H1598" s="374" t="s">
        <v>975</v>
      </c>
      <c r="K1598" s="374" t="s">
        <v>975</v>
      </c>
      <c r="W1598" s="744"/>
      <c r="AE1598" s="283">
        <f t="shared" si="218"/>
        <v>0</v>
      </c>
    </row>
    <row r="1599" spans="6:31" ht="24" customHeight="1">
      <c r="F1599" s="771" t="s">
        <v>536</v>
      </c>
      <c r="G1599" s="283" t="s">
        <v>1907</v>
      </c>
      <c r="H1599" s="374" t="s">
        <v>551</v>
      </c>
      <c r="O1599" s="751" t="s">
        <v>3876</v>
      </c>
      <c r="W1599" s="744"/>
      <c r="AE1599" s="283">
        <f t="shared" ref="AE1599:AE1662" si="220">AG1599</f>
        <v>0</v>
      </c>
    </row>
    <row r="1600" spans="6:31" ht="24" customHeight="1">
      <c r="F1600" s="746"/>
      <c r="H1600" s="374" t="s">
        <v>537</v>
      </c>
      <c r="M1600" s="771" t="s">
        <v>536</v>
      </c>
      <c r="N1600" s="283" t="s">
        <v>1907</v>
      </c>
      <c r="O1600" s="374" t="s">
        <v>551</v>
      </c>
      <c r="Q1600" s="374"/>
      <c r="W1600" s="744"/>
      <c r="AE1600" s="283">
        <f t="shared" si="220"/>
        <v>0</v>
      </c>
    </row>
    <row r="1601" spans="6:31" ht="24" customHeight="1">
      <c r="F1601" s="746"/>
      <c r="H1601" s="748" t="s">
        <v>1586</v>
      </c>
      <c r="M1601" s="746"/>
      <c r="O1601" s="374" t="s">
        <v>537</v>
      </c>
      <c r="Q1601" s="374"/>
      <c r="W1601" s="744"/>
      <c r="AE1601" s="283">
        <f t="shared" si="220"/>
        <v>0</v>
      </c>
    </row>
    <row r="1602" spans="6:31" ht="24" customHeight="1">
      <c r="F1602" s="283">
        <v>1</v>
      </c>
      <c r="G1602" s="283" t="s">
        <v>526</v>
      </c>
      <c r="H1602" s="374" t="s">
        <v>527</v>
      </c>
      <c r="I1602" s="283">
        <f>(C140)</f>
        <v>58000</v>
      </c>
      <c r="J1602" s="374" t="s">
        <v>528</v>
      </c>
      <c r="K1602" s="283">
        <f>(F1602*I1602)/10</f>
        <v>5800</v>
      </c>
      <c r="L1602" s="283">
        <f>K1627+K1631</f>
        <v>393.72</v>
      </c>
      <c r="M1602" s="746"/>
      <c r="O1602" s="748" t="s">
        <v>1586</v>
      </c>
      <c r="Q1602" s="374"/>
      <c r="W1602" s="744"/>
      <c r="AE1602" s="283">
        <f t="shared" si="220"/>
        <v>0</v>
      </c>
    </row>
    <row r="1603" spans="6:31" ht="24" customHeight="1">
      <c r="F1603" s="746">
        <v>0.01</v>
      </c>
      <c r="G1603" s="283" t="s">
        <v>526</v>
      </c>
      <c r="H1603" s="374" t="s">
        <v>192</v>
      </c>
      <c r="I1603" s="283">
        <f>I1588</f>
        <v>56350</v>
      </c>
      <c r="J1603" s="374" t="s">
        <v>528</v>
      </c>
      <c r="K1603" s="283">
        <f>(F1603*I1603)/10</f>
        <v>56.35</v>
      </c>
      <c r="L1603" s="283">
        <f>L1602/3</f>
        <v>131.24</v>
      </c>
      <c r="M1603" s="283">
        <v>1</v>
      </c>
      <c r="N1603" s="283" t="s">
        <v>526</v>
      </c>
      <c r="O1603" s="374" t="s">
        <v>527</v>
      </c>
      <c r="P1603" s="283">
        <f>I1602</f>
        <v>58000</v>
      </c>
      <c r="Q1603" s="374" t="s">
        <v>528</v>
      </c>
      <c r="R1603" s="283">
        <f>(M1603*P1603)/10</f>
        <v>5800</v>
      </c>
      <c r="W1603" s="744"/>
      <c r="AE1603" s="283">
        <f t="shared" si="220"/>
        <v>0</v>
      </c>
    </row>
    <row r="1604" spans="6:31" ht="24" customHeight="1">
      <c r="F1604" s="746">
        <v>3.5</v>
      </c>
      <c r="G1604" s="283" t="s">
        <v>769</v>
      </c>
      <c r="H1604" s="374" t="s">
        <v>529</v>
      </c>
      <c r="I1604" s="283">
        <f>AE38</f>
        <v>866</v>
      </c>
      <c r="J1604" s="374" t="s">
        <v>769</v>
      </c>
      <c r="K1604" s="283">
        <f>(F1604*I1604)</f>
        <v>3031</v>
      </c>
      <c r="M1604" s="746">
        <v>0.01</v>
      </c>
      <c r="N1604" s="283" t="s">
        <v>526</v>
      </c>
      <c r="O1604" s="745" t="s">
        <v>4029</v>
      </c>
      <c r="P1604" s="751">
        <f>80000/112*100</f>
        <v>71428.570000000007</v>
      </c>
      <c r="Q1604" s="374" t="s">
        <v>528</v>
      </c>
      <c r="R1604" s="283">
        <f>(M1604*P1604)/10</f>
        <v>71.430000000000007</v>
      </c>
      <c r="W1604" s="744"/>
      <c r="AE1604" s="283">
        <f t="shared" si="220"/>
        <v>0</v>
      </c>
    </row>
    <row r="1605" spans="6:31" ht="24" customHeight="1">
      <c r="F1605" s="746"/>
      <c r="G1605" s="283" t="s">
        <v>449</v>
      </c>
      <c r="H1605" s="374" t="s">
        <v>450</v>
      </c>
      <c r="J1605" s="374" t="s">
        <v>449</v>
      </c>
      <c r="K1605" s="283">
        <v>0</v>
      </c>
      <c r="M1605" s="746">
        <v>3.5</v>
      </c>
      <c r="N1605" s="283" t="s">
        <v>769</v>
      </c>
      <c r="O1605" s="374" t="s">
        <v>529</v>
      </c>
      <c r="P1605" s="283">
        <f>I1604</f>
        <v>866</v>
      </c>
      <c r="Q1605" s="374" t="s">
        <v>769</v>
      </c>
      <c r="R1605" s="283">
        <f>(M1605*P1605)</f>
        <v>3031</v>
      </c>
      <c r="W1605" s="744"/>
      <c r="AE1605" s="283">
        <f t="shared" si="220"/>
        <v>0</v>
      </c>
    </row>
    <row r="1606" spans="6:31" ht="24" customHeight="1">
      <c r="K1606" s="748" t="s">
        <v>1586</v>
      </c>
      <c r="M1606" s="746"/>
      <c r="N1606" s="283" t="s">
        <v>449</v>
      </c>
      <c r="O1606" s="374" t="s">
        <v>450</v>
      </c>
      <c r="Q1606" s="374" t="s">
        <v>449</v>
      </c>
      <c r="R1606" s="283">
        <v>0</v>
      </c>
      <c r="W1606" s="744"/>
      <c r="AE1606" s="283">
        <f t="shared" si="220"/>
        <v>0</v>
      </c>
    </row>
    <row r="1607" spans="6:31" ht="24" customHeight="1">
      <c r="H1607" s="374" t="s">
        <v>532</v>
      </c>
      <c r="K1607" s="283">
        <f>SUM(K1602:K1605)</f>
        <v>8887.35</v>
      </c>
      <c r="Q1607" s="374"/>
      <c r="R1607" s="748" t="s">
        <v>1586</v>
      </c>
      <c r="W1607" s="744"/>
      <c r="AE1607" s="283">
        <f t="shared" si="220"/>
        <v>0</v>
      </c>
    </row>
    <row r="1608" spans="6:31" ht="24" customHeight="1">
      <c r="K1608" s="748" t="s">
        <v>1586</v>
      </c>
      <c r="O1608" s="374" t="s">
        <v>532</v>
      </c>
      <c r="Q1608" s="374"/>
      <c r="R1608" s="283">
        <f>SUM(R1603:R1606)</f>
        <v>8902.43</v>
      </c>
      <c r="W1608" s="744"/>
      <c r="AE1608" s="283">
        <f t="shared" si="220"/>
        <v>0</v>
      </c>
    </row>
    <row r="1609" spans="6:31" ht="24" customHeight="1">
      <c r="H1609" s="757" t="s">
        <v>533</v>
      </c>
      <c r="I1609" s="751"/>
      <c r="J1609" s="745"/>
      <c r="K1609" s="751">
        <f>(K1607*10)</f>
        <v>88873.5</v>
      </c>
      <c r="Q1609" s="374"/>
      <c r="R1609" s="748" t="s">
        <v>1586</v>
      </c>
      <c r="W1609" s="744"/>
      <c r="AE1609" s="283">
        <f t="shared" si="220"/>
        <v>0</v>
      </c>
    </row>
    <row r="1610" spans="6:31" ht="24" customHeight="1">
      <c r="H1610" s="374" t="s">
        <v>975</v>
      </c>
      <c r="K1610" s="374" t="s">
        <v>975</v>
      </c>
      <c r="O1610" s="757" t="s">
        <v>533</v>
      </c>
      <c r="P1610" s="751"/>
      <c r="Q1610" s="745"/>
      <c r="R1610" s="751">
        <f>(R1608*10)</f>
        <v>89024.3</v>
      </c>
      <c r="W1610" s="744"/>
      <c r="AE1610" s="283">
        <f t="shared" si="220"/>
        <v>0</v>
      </c>
    </row>
    <row r="1611" spans="6:31" ht="24" customHeight="1">
      <c r="G1611" s="283" t="s">
        <v>520</v>
      </c>
      <c r="H1611" s="374" t="s">
        <v>551</v>
      </c>
      <c r="K1611" s="374"/>
      <c r="W1611" s="744"/>
      <c r="AE1611" s="283">
        <f t="shared" si="220"/>
        <v>0</v>
      </c>
    </row>
    <row r="1612" spans="6:31" ht="24" customHeight="1">
      <c r="H1612" s="374" t="s">
        <v>1595</v>
      </c>
      <c r="K1612" s="374"/>
      <c r="N1612" s="283" t="s">
        <v>520</v>
      </c>
      <c r="O1612" s="374" t="s">
        <v>551</v>
      </c>
      <c r="Q1612" s="374"/>
      <c r="R1612" s="374"/>
      <c r="W1612" s="744"/>
      <c r="AE1612" s="283">
        <f t="shared" si="220"/>
        <v>0</v>
      </c>
    </row>
    <row r="1613" spans="6:31" ht="24" customHeight="1">
      <c r="F1613" s="746"/>
      <c r="H1613" s="748" t="s">
        <v>1586</v>
      </c>
      <c r="K1613" s="374"/>
      <c r="O1613" s="374" t="s">
        <v>1595</v>
      </c>
      <c r="Q1613" s="374"/>
      <c r="R1613" s="374"/>
      <c r="W1613" s="744"/>
      <c r="AE1613" s="283">
        <f t="shared" si="220"/>
        <v>0</v>
      </c>
    </row>
    <row r="1614" spans="6:31" ht="24" customHeight="1">
      <c r="F1614" s="283">
        <v>1</v>
      </c>
      <c r="G1614" s="283" t="s">
        <v>526</v>
      </c>
      <c r="H1614" s="374" t="s">
        <v>535</v>
      </c>
      <c r="I1614" s="283">
        <f>C139</f>
        <v>58000</v>
      </c>
      <c r="J1614" s="374" t="s">
        <v>528</v>
      </c>
      <c r="K1614" s="283">
        <f>(F1614*I1614)/10</f>
        <v>5800</v>
      </c>
      <c r="M1614" s="746"/>
      <c r="O1614" s="748" t="s">
        <v>1586</v>
      </c>
      <c r="Q1614" s="374"/>
      <c r="R1614" s="374"/>
      <c r="W1614" s="744"/>
      <c r="AE1614" s="283">
        <f t="shared" si="220"/>
        <v>0</v>
      </c>
    </row>
    <row r="1615" spans="6:31" ht="24" customHeight="1">
      <c r="F1615" s="746">
        <v>0.01</v>
      </c>
      <c r="G1615" s="283" t="s">
        <v>526</v>
      </c>
      <c r="H1615" s="374" t="s">
        <v>192</v>
      </c>
      <c r="I1615" s="283">
        <f>C144</f>
        <v>56350</v>
      </c>
      <c r="J1615" s="374" t="s">
        <v>528</v>
      </c>
      <c r="K1615" s="283">
        <f>(F1615*I1615)/10</f>
        <v>56.35</v>
      </c>
      <c r="M1615" s="283">
        <v>1</v>
      </c>
      <c r="N1615" s="283" t="s">
        <v>526</v>
      </c>
      <c r="O1615" s="374" t="s">
        <v>535</v>
      </c>
      <c r="P1615" s="283">
        <f>I1614</f>
        <v>58000</v>
      </c>
      <c r="Q1615" s="374" t="s">
        <v>528</v>
      </c>
      <c r="R1615" s="283">
        <f>(M1615*P1615)/10</f>
        <v>5800</v>
      </c>
      <c r="W1615" s="744"/>
      <c r="AE1615" s="283">
        <f t="shared" si="220"/>
        <v>0</v>
      </c>
    </row>
    <row r="1616" spans="6:31" ht="24" customHeight="1">
      <c r="F1616" s="746">
        <v>3.5</v>
      </c>
      <c r="G1616" s="283" t="s">
        <v>769</v>
      </c>
      <c r="H1616" s="374" t="s">
        <v>529</v>
      </c>
      <c r="I1616" s="283">
        <f>I1604</f>
        <v>866</v>
      </c>
      <c r="J1616" s="374" t="s">
        <v>769</v>
      </c>
      <c r="K1616" s="283">
        <f>(F1616*I1616)</f>
        <v>3031</v>
      </c>
      <c r="M1616" s="746">
        <v>0.01</v>
      </c>
      <c r="N1616" s="283" t="s">
        <v>526</v>
      </c>
      <c r="O1616" s="745" t="str">
        <f>O1604</f>
        <v>BINDING WIRE insulated with PVC as per circular</v>
      </c>
      <c r="P1616" s="283">
        <f>P1604</f>
        <v>71428.570000000007</v>
      </c>
      <c r="Q1616" s="374" t="s">
        <v>528</v>
      </c>
      <c r="R1616" s="283">
        <f>(M1616*P1616)/10</f>
        <v>71.430000000000007</v>
      </c>
      <c r="W1616" s="744"/>
      <c r="AE1616" s="283">
        <f t="shared" si="220"/>
        <v>0</v>
      </c>
    </row>
    <row r="1617" spans="6:31" ht="24" customHeight="1">
      <c r="F1617" s="746"/>
      <c r="G1617" s="283" t="s">
        <v>449</v>
      </c>
      <c r="H1617" s="374" t="s">
        <v>450</v>
      </c>
      <c r="J1617" s="374" t="s">
        <v>449</v>
      </c>
      <c r="K1617" s="283">
        <v>0</v>
      </c>
      <c r="M1617" s="746">
        <v>3.5</v>
      </c>
      <c r="N1617" s="283" t="s">
        <v>526</v>
      </c>
      <c r="O1617" s="374" t="s">
        <v>529</v>
      </c>
      <c r="P1617" s="283">
        <f>I1616</f>
        <v>866</v>
      </c>
      <c r="Q1617" s="374" t="s">
        <v>769</v>
      </c>
      <c r="R1617" s="283">
        <f>(M1617*P1617)</f>
        <v>3031</v>
      </c>
      <c r="W1617" s="744"/>
      <c r="AE1617" s="283">
        <f t="shared" si="220"/>
        <v>0</v>
      </c>
    </row>
    <row r="1618" spans="6:31" ht="24" customHeight="1">
      <c r="K1618" s="748" t="s">
        <v>1586</v>
      </c>
      <c r="M1618" s="746"/>
      <c r="N1618" s="283" t="s">
        <v>526</v>
      </c>
      <c r="O1618" s="374" t="s">
        <v>450</v>
      </c>
      <c r="Q1618" s="374" t="s">
        <v>449</v>
      </c>
      <c r="R1618" s="283">
        <v>0</v>
      </c>
      <c r="W1618" s="744"/>
      <c r="AE1618" s="283">
        <f t="shared" si="220"/>
        <v>0</v>
      </c>
    </row>
    <row r="1619" spans="6:31" ht="24" customHeight="1">
      <c r="H1619" s="374" t="s">
        <v>532</v>
      </c>
      <c r="K1619" s="283">
        <f>SUM(K1614:K1617)</f>
        <v>8887.35</v>
      </c>
      <c r="Q1619" s="374"/>
      <c r="R1619" s="748" t="s">
        <v>1586</v>
      </c>
      <c r="W1619" s="744"/>
      <c r="AE1619" s="283">
        <f t="shared" si="220"/>
        <v>0</v>
      </c>
    </row>
    <row r="1620" spans="6:31" ht="24" customHeight="1">
      <c r="K1620" s="748" t="s">
        <v>1586</v>
      </c>
      <c r="O1620" s="374" t="s">
        <v>532</v>
      </c>
      <c r="Q1620" s="374"/>
      <c r="R1620" s="283">
        <f>SUM(R1615:R1618)</f>
        <v>8902.43</v>
      </c>
      <c r="W1620" s="744"/>
      <c r="AE1620" s="283">
        <f t="shared" si="220"/>
        <v>0</v>
      </c>
    </row>
    <row r="1621" spans="6:31" ht="24" customHeight="1">
      <c r="H1621" s="757" t="s">
        <v>533</v>
      </c>
      <c r="I1621" s="751"/>
      <c r="J1621" s="745"/>
      <c r="K1621" s="751">
        <f>(K1619*10)</f>
        <v>88873.5</v>
      </c>
      <c r="Q1621" s="374"/>
      <c r="R1621" s="748" t="s">
        <v>1586</v>
      </c>
      <c r="W1621" s="744"/>
      <c r="AE1621" s="283">
        <f t="shared" si="220"/>
        <v>0</v>
      </c>
    </row>
    <row r="1622" spans="6:31" ht="24" customHeight="1">
      <c r="H1622" s="374" t="s">
        <v>975</v>
      </c>
      <c r="O1622" s="757" t="s">
        <v>533</v>
      </c>
      <c r="P1622" s="751"/>
      <c r="Q1622" s="745"/>
      <c r="R1622" s="751">
        <f>(R1620*10)</f>
        <v>89024.3</v>
      </c>
      <c r="W1622" s="744"/>
      <c r="AE1622" s="283">
        <f t="shared" si="220"/>
        <v>0</v>
      </c>
    </row>
    <row r="1623" spans="6:31" ht="24" customHeight="1">
      <c r="F1623" s="765">
        <v>44.1</v>
      </c>
      <c r="G1623" s="283" t="s">
        <v>2251</v>
      </c>
      <c r="H1623" s="374" t="s">
        <v>1596</v>
      </c>
      <c r="W1623" s="744"/>
      <c r="AE1623" s="283">
        <f t="shared" si="220"/>
        <v>0</v>
      </c>
    </row>
    <row r="1624" spans="6:31" ht="24" customHeight="1">
      <c r="H1624" s="374" t="s">
        <v>1597</v>
      </c>
      <c r="R1624" s="283" t="s">
        <v>249</v>
      </c>
      <c r="W1624" s="744"/>
      <c r="AE1624" s="283">
        <f t="shared" si="220"/>
        <v>0</v>
      </c>
    </row>
    <row r="1625" spans="6:31" ht="24" customHeight="1">
      <c r="H1625" s="374" t="s">
        <v>6117</v>
      </c>
      <c r="M1625" s="765">
        <v>44.1</v>
      </c>
      <c r="N1625" s="283" t="s">
        <v>2251</v>
      </c>
      <c r="O1625" s="374" t="s">
        <v>1596</v>
      </c>
      <c r="W1625" s="744"/>
      <c r="AE1625" s="283">
        <f t="shared" si="220"/>
        <v>0</v>
      </c>
    </row>
    <row r="1626" spans="6:31" ht="24" customHeight="1">
      <c r="H1626" s="748" t="s">
        <v>1586</v>
      </c>
      <c r="O1626" s="374" t="s">
        <v>1597</v>
      </c>
      <c r="W1626" s="744"/>
      <c r="AE1626" s="283">
        <f t="shared" si="220"/>
        <v>0</v>
      </c>
    </row>
    <row r="1627" spans="6:31" ht="24" customHeight="1">
      <c r="F1627" s="283">
        <v>3</v>
      </c>
      <c r="G1627" s="283" t="s">
        <v>1771</v>
      </c>
      <c r="H1627" s="374" t="s">
        <v>2046</v>
      </c>
      <c r="I1627" s="283">
        <f>D621</f>
        <v>120.54</v>
      </c>
      <c r="J1627" s="374" t="s">
        <v>1771</v>
      </c>
      <c r="K1627" s="283">
        <f t="shared" ref="K1627:K1632" si="221">(F1627*I1627)</f>
        <v>361.62</v>
      </c>
      <c r="O1627" s="374" t="s">
        <v>6117</v>
      </c>
      <c r="W1627" s="744"/>
      <c r="AE1627" s="283">
        <f t="shared" si="220"/>
        <v>0</v>
      </c>
    </row>
    <row r="1628" spans="6:31" ht="24" customHeight="1">
      <c r="F1628" s="283">
        <v>1</v>
      </c>
      <c r="G1628" s="283" t="s">
        <v>868</v>
      </c>
      <c r="H1628" s="374" t="s">
        <v>2099</v>
      </c>
      <c r="I1628" s="283">
        <f>(C624)</f>
        <v>76</v>
      </c>
      <c r="J1628" s="374" t="s">
        <v>868</v>
      </c>
      <c r="K1628" s="283">
        <f t="shared" si="221"/>
        <v>76</v>
      </c>
      <c r="O1628" s="748" t="s">
        <v>1586</v>
      </c>
      <c r="W1628" s="744"/>
      <c r="AE1628" s="283">
        <f t="shared" si="220"/>
        <v>0</v>
      </c>
    </row>
    <row r="1629" spans="6:31" ht="24" customHeight="1">
      <c r="F1629" s="283">
        <v>1</v>
      </c>
      <c r="G1629" s="283" t="s">
        <v>868</v>
      </c>
      <c r="H1629" s="374" t="s">
        <v>2100</v>
      </c>
      <c r="I1629" s="283">
        <f>(C627)</f>
        <v>83.4</v>
      </c>
      <c r="J1629" s="374" t="s">
        <v>868</v>
      </c>
      <c r="K1629" s="283">
        <f t="shared" si="221"/>
        <v>83.4</v>
      </c>
      <c r="M1629" s="283">
        <v>3</v>
      </c>
      <c r="N1629" s="283" t="s">
        <v>1771</v>
      </c>
      <c r="O1629" s="374" t="s">
        <v>2046</v>
      </c>
      <c r="P1629" s="283">
        <f>I1627</f>
        <v>120.54</v>
      </c>
      <c r="Q1629" s="283" t="str">
        <f>J1629</f>
        <v>NO.</v>
      </c>
      <c r="R1629" s="283">
        <f t="shared" ref="R1629:R1634" si="222">P1629*M1629</f>
        <v>361.62</v>
      </c>
      <c r="W1629" s="744"/>
      <c r="AE1629" s="283">
        <f t="shared" si="220"/>
        <v>0</v>
      </c>
    </row>
    <row r="1630" spans="6:31" ht="24" customHeight="1">
      <c r="F1630" s="283">
        <v>2</v>
      </c>
      <c r="G1630" s="283" t="s">
        <v>868</v>
      </c>
      <c r="H1630" s="374" t="s">
        <v>2101</v>
      </c>
      <c r="I1630" s="283">
        <f>C598</f>
        <v>21.6</v>
      </c>
      <c r="J1630" s="374" t="s">
        <v>868</v>
      </c>
      <c r="K1630" s="283">
        <f t="shared" si="221"/>
        <v>43.2</v>
      </c>
      <c r="M1630" s="283">
        <v>1</v>
      </c>
      <c r="N1630" s="283" t="s">
        <v>868</v>
      </c>
      <c r="O1630" s="374" t="s">
        <v>2099</v>
      </c>
      <c r="P1630" s="283">
        <v>76.78</v>
      </c>
      <c r="Q1630" s="283" t="str">
        <f>J1630</f>
        <v>NO.</v>
      </c>
      <c r="R1630" s="283">
        <f t="shared" si="222"/>
        <v>76.78</v>
      </c>
      <c r="W1630" s="744"/>
      <c r="AE1630" s="283">
        <f t="shared" si="220"/>
        <v>0</v>
      </c>
    </row>
    <row r="1631" spans="6:31" ht="24" customHeight="1">
      <c r="F1631" s="283">
        <v>1</v>
      </c>
      <c r="G1631" s="283" t="s">
        <v>868</v>
      </c>
      <c r="H1631" s="374" t="s">
        <v>2102</v>
      </c>
      <c r="I1631" s="283">
        <f>(C697)</f>
        <v>32.1</v>
      </c>
      <c r="J1631" s="374" t="s">
        <v>868</v>
      </c>
      <c r="K1631" s="283">
        <f t="shared" si="221"/>
        <v>32.1</v>
      </c>
      <c r="M1631" s="283">
        <v>1</v>
      </c>
      <c r="N1631" s="283" t="s">
        <v>868</v>
      </c>
      <c r="O1631" s="374" t="s">
        <v>2100</v>
      </c>
      <c r="P1631" s="283">
        <f>I1629</f>
        <v>83.4</v>
      </c>
      <c r="Q1631" s="283" t="str">
        <f>J1631</f>
        <v>NO.</v>
      </c>
      <c r="R1631" s="283">
        <f t="shared" si="222"/>
        <v>83.4</v>
      </c>
      <c r="W1631" s="744"/>
      <c r="AE1631" s="283">
        <f t="shared" si="220"/>
        <v>0</v>
      </c>
    </row>
    <row r="1632" spans="6:31" ht="24" customHeight="1">
      <c r="F1632" s="283">
        <v>0.5</v>
      </c>
      <c r="G1632" s="283" t="s">
        <v>868</v>
      </c>
      <c r="H1632" s="374" t="s">
        <v>2103</v>
      </c>
      <c r="I1632" s="283">
        <f>(C15)</f>
        <v>866</v>
      </c>
      <c r="J1632" s="374" t="s">
        <v>868</v>
      </c>
      <c r="K1632" s="283">
        <f t="shared" si="221"/>
        <v>433</v>
      </c>
      <c r="M1632" s="751">
        <v>2</v>
      </c>
      <c r="N1632" s="751" t="s">
        <v>1030</v>
      </c>
      <c r="O1632" s="745" t="s">
        <v>4229</v>
      </c>
      <c r="P1632" s="283">
        <v>12</v>
      </c>
      <c r="Q1632" s="283" t="str">
        <f>J1632</f>
        <v>NO.</v>
      </c>
      <c r="R1632" s="283">
        <f t="shared" si="222"/>
        <v>24</v>
      </c>
      <c r="W1632" s="744"/>
      <c r="AE1632" s="283">
        <f t="shared" si="220"/>
        <v>0</v>
      </c>
    </row>
    <row r="1633" spans="6:31" ht="24" customHeight="1">
      <c r="G1633" s="283" t="s">
        <v>449</v>
      </c>
      <c r="H1633" s="374" t="s">
        <v>605</v>
      </c>
      <c r="J1633" s="374" t="s">
        <v>449</v>
      </c>
      <c r="M1633" s="283">
        <v>1</v>
      </c>
      <c r="N1633" s="283" t="s">
        <v>1030</v>
      </c>
      <c r="O1633" s="374" t="s">
        <v>2102</v>
      </c>
      <c r="P1633" s="283">
        <f>I1631</f>
        <v>32.1</v>
      </c>
      <c r="Q1633" s="283" t="str">
        <f>J1633</f>
        <v>L.S</v>
      </c>
      <c r="R1633" s="283">
        <f t="shared" si="222"/>
        <v>32.1</v>
      </c>
      <c r="W1633" s="744"/>
      <c r="AE1633" s="283">
        <f t="shared" si="220"/>
        <v>0</v>
      </c>
    </row>
    <row r="1634" spans="6:31" ht="24" customHeight="1">
      <c r="H1634" s="374" t="s">
        <v>20</v>
      </c>
      <c r="M1634" s="283">
        <v>0.5</v>
      </c>
      <c r="N1634" s="283" t="s">
        <v>1030</v>
      </c>
      <c r="O1634" s="374" t="s">
        <v>2103</v>
      </c>
      <c r="P1634" s="283">
        <f>I1632</f>
        <v>866</v>
      </c>
      <c r="R1634" s="283">
        <f t="shared" si="222"/>
        <v>433</v>
      </c>
      <c r="W1634" s="744"/>
      <c r="AE1634" s="283">
        <f t="shared" si="220"/>
        <v>0</v>
      </c>
    </row>
    <row r="1635" spans="6:31" ht="24" customHeight="1">
      <c r="K1635" s="748" t="s">
        <v>1586</v>
      </c>
      <c r="N1635" s="283" t="s">
        <v>1030</v>
      </c>
      <c r="O1635" s="374" t="s">
        <v>605</v>
      </c>
      <c r="P1635" s="283">
        <f>I1635</f>
        <v>0</v>
      </c>
      <c r="W1635" s="744"/>
      <c r="AE1635" s="283">
        <f t="shared" si="220"/>
        <v>0</v>
      </c>
    </row>
    <row r="1636" spans="6:31" ht="24" customHeight="1">
      <c r="H1636" s="374" t="s">
        <v>1317</v>
      </c>
      <c r="K1636" s="283">
        <f>SUM(K1627:K1633)</f>
        <v>1029.32</v>
      </c>
      <c r="O1636" s="374" t="s">
        <v>20</v>
      </c>
      <c r="R1636" s="283">
        <f>26.98+4.7</f>
        <v>31.68</v>
      </c>
      <c r="W1636" s="744"/>
      <c r="AE1636" s="283">
        <f t="shared" si="220"/>
        <v>0</v>
      </c>
    </row>
    <row r="1637" spans="6:31" ht="24" customHeight="1">
      <c r="F1637" s="374" t="s">
        <v>975</v>
      </c>
      <c r="W1637" s="744"/>
      <c r="AE1637" s="283">
        <f t="shared" si="220"/>
        <v>0</v>
      </c>
    </row>
    <row r="1638" spans="6:31" ht="24" customHeight="1">
      <c r="K1638" s="748" t="s">
        <v>1586</v>
      </c>
      <c r="O1638" s="374" t="s">
        <v>1317</v>
      </c>
      <c r="R1638" s="751">
        <f>SUM(R1629:R1637)</f>
        <v>1042.58</v>
      </c>
      <c r="W1638" s="744"/>
      <c r="AE1638" s="283">
        <f t="shared" si="220"/>
        <v>0</v>
      </c>
    </row>
    <row r="1639" spans="6:31" ht="24" customHeight="1">
      <c r="H1639" s="757" t="s">
        <v>1545</v>
      </c>
      <c r="I1639" s="751"/>
      <c r="J1639" s="745"/>
      <c r="K1639" s="751">
        <f>(K1636/3)</f>
        <v>343.11</v>
      </c>
      <c r="W1639" s="744"/>
      <c r="AE1639" s="283">
        <f t="shared" si="220"/>
        <v>0</v>
      </c>
    </row>
    <row r="1640" spans="6:31" ht="24" customHeight="1">
      <c r="H1640" s="374"/>
      <c r="K1640" s="748" t="s">
        <v>2055</v>
      </c>
      <c r="Q1640" s="374"/>
      <c r="R1640" s="748" t="s">
        <v>1586</v>
      </c>
      <c r="W1640" s="744"/>
      <c r="AE1640" s="283">
        <f t="shared" si="220"/>
        <v>0</v>
      </c>
    </row>
    <row r="1641" spans="6:31" ht="24" customHeight="1">
      <c r="F1641" s="744" t="s">
        <v>1318</v>
      </c>
      <c r="H1641" s="374" t="s">
        <v>14</v>
      </c>
      <c r="O1641" s="757" t="s">
        <v>1545</v>
      </c>
      <c r="P1641" s="751"/>
      <c r="Q1641" s="745"/>
      <c r="R1641" s="751">
        <f>(R1638/3)</f>
        <v>347.53</v>
      </c>
      <c r="S1641" s="746">
        <f>310*3</f>
        <v>930</v>
      </c>
      <c r="T1641" s="283">
        <f>S1641-R1638</f>
        <v>-112.58</v>
      </c>
      <c r="W1641" s="744"/>
      <c r="AE1641" s="283">
        <f t="shared" si="220"/>
        <v>0</v>
      </c>
    </row>
    <row r="1642" spans="6:31" ht="24" customHeight="1">
      <c r="H1642" s="374" t="s">
        <v>15</v>
      </c>
      <c r="O1642" s="374"/>
      <c r="Q1642" s="374"/>
      <c r="R1642" s="748" t="s">
        <v>2055</v>
      </c>
      <c r="W1642" s="744"/>
      <c r="AE1642" s="283">
        <f t="shared" si="220"/>
        <v>0</v>
      </c>
    </row>
    <row r="1643" spans="6:31" ht="24" customHeight="1">
      <c r="H1643" s="374" t="s">
        <v>2036</v>
      </c>
      <c r="W1643" s="744"/>
      <c r="AE1643" s="283">
        <f t="shared" si="220"/>
        <v>0</v>
      </c>
    </row>
    <row r="1644" spans="6:31" ht="24" customHeight="1">
      <c r="H1644" s="748" t="s">
        <v>1586</v>
      </c>
      <c r="W1644" s="744"/>
      <c r="AE1644" s="283">
        <f t="shared" si="220"/>
        <v>0</v>
      </c>
    </row>
    <row r="1645" spans="6:31" ht="24" customHeight="1">
      <c r="F1645" s="283">
        <v>0.15</v>
      </c>
      <c r="G1645" s="283" t="s">
        <v>869</v>
      </c>
      <c r="H1645" s="374" t="s">
        <v>2037</v>
      </c>
      <c r="I1645" s="283">
        <f>(C71)</f>
        <v>866.87</v>
      </c>
      <c r="J1645" s="374" t="s">
        <v>869</v>
      </c>
      <c r="K1645" s="283">
        <f>(F1645*I1645)</f>
        <v>130.03</v>
      </c>
      <c r="W1645" s="744"/>
      <c r="AE1645" s="283">
        <f t="shared" si="220"/>
        <v>0</v>
      </c>
    </row>
    <row r="1646" spans="6:31" ht="24" customHeight="1">
      <c r="F1646" s="783">
        <v>8.6499999999999994E-2</v>
      </c>
      <c r="G1646" s="283" t="s">
        <v>861</v>
      </c>
      <c r="H1646" s="374" t="s">
        <v>862</v>
      </c>
      <c r="I1646" s="283">
        <f>(C68)</f>
        <v>6040</v>
      </c>
      <c r="J1646" s="374" t="s">
        <v>861</v>
      </c>
      <c r="K1646" s="283">
        <f>(F1646*I1646)</f>
        <v>522.46</v>
      </c>
      <c r="W1646" s="744"/>
      <c r="AE1646" s="283">
        <f t="shared" si="220"/>
        <v>0</v>
      </c>
    </row>
    <row r="1647" spans="6:31" ht="24" customHeight="1">
      <c r="F1647" s="283">
        <v>1.6</v>
      </c>
      <c r="G1647" s="283" t="s">
        <v>769</v>
      </c>
      <c r="H1647" s="374" t="s">
        <v>2009</v>
      </c>
      <c r="I1647" s="283">
        <f>(C10)</f>
        <v>999</v>
      </c>
      <c r="J1647" s="374" t="s">
        <v>769</v>
      </c>
      <c r="K1647" s="283">
        <f>(F1647*I1647)</f>
        <v>1598.4</v>
      </c>
      <c r="W1647" s="744"/>
      <c r="AE1647" s="283">
        <f t="shared" si="220"/>
        <v>0</v>
      </c>
    </row>
    <row r="1648" spans="6:31" ht="24" customHeight="1">
      <c r="F1648" s="283">
        <v>0.5</v>
      </c>
      <c r="G1648" s="283" t="s">
        <v>769</v>
      </c>
      <c r="H1648" s="374" t="s">
        <v>1902</v>
      </c>
      <c r="I1648" s="283">
        <f>(C12)</f>
        <v>651</v>
      </c>
      <c r="J1648" s="374" t="s">
        <v>769</v>
      </c>
      <c r="K1648" s="283">
        <f>(F1648*I1648)</f>
        <v>325.5</v>
      </c>
      <c r="W1648" s="744"/>
      <c r="AE1648" s="283">
        <f t="shared" si="220"/>
        <v>0</v>
      </c>
    </row>
    <row r="1649" spans="6:31" ht="24" customHeight="1">
      <c r="F1649" s="283">
        <v>1.1000000000000001</v>
      </c>
      <c r="G1649" s="283" t="s">
        <v>769</v>
      </c>
      <c r="H1649" s="374" t="s">
        <v>320</v>
      </c>
      <c r="I1649" s="283">
        <f>(C13)</f>
        <v>534</v>
      </c>
      <c r="J1649" s="374" t="s">
        <v>769</v>
      </c>
      <c r="K1649" s="283">
        <f>(F1649*I1649)</f>
        <v>587.4</v>
      </c>
      <c r="W1649" s="744"/>
      <c r="AE1649" s="283">
        <f t="shared" si="220"/>
        <v>0</v>
      </c>
    </row>
    <row r="1650" spans="6:31" ht="24" customHeight="1">
      <c r="G1650" s="283" t="s">
        <v>449</v>
      </c>
      <c r="H1650" s="374" t="s">
        <v>450</v>
      </c>
      <c r="I1650" s="374" t="s">
        <v>975</v>
      </c>
      <c r="J1650" s="374" t="s">
        <v>449</v>
      </c>
      <c r="K1650" s="283">
        <v>0</v>
      </c>
      <c r="W1650" s="744"/>
      <c r="AE1650" s="283">
        <f t="shared" si="220"/>
        <v>0</v>
      </c>
    </row>
    <row r="1651" spans="6:31" ht="24" customHeight="1">
      <c r="K1651" s="748" t="s">
        <v>1586</v>
      </c>
      <c r="W1651" s="744"/>
      <c r="AE1651" s="283">
        <f t="shared" si="220"/>
        <v>0</v>
      </c>
    </row>
    <row r="1652" spans="6:31" ht="24" customHeight="1">
      <c r="H1652" s="374" t="s">
        <v>441</v>
      </c>
      <c r="K1652" s="283">
        <f>SUM(K1645:K1650)</f>
        <v>3163.79</v>
      </c>
      <c r="W1652" s="744"/>
      <c r="AE1652" s="283">
        <f t="shared" si="220"/>
        <v>0</v>
      </c>
    </row>
    <row r="1653" spans="6:31" ht="24" customHeight="1">
      <c r="K1653" s="748" t="s">
        <v>1586</v>
      </c>
      <c r="W1653" s="744"/>
      <c r="AE1653" s="283">
        <f t="shared" si="220"/>
        <v>0</v>
      </c>
    </row>
    <row r="1654" spans="6:31" ht="24" customHeight="1">
      <c r="H1654" s="757" t="s">
        <v>552</v>
      </c>
      <c r="I1654" s="751"/>
      <c r="J1654" s="745"/>
      <c r="K1654" s="751">
        <f>(K1652/10)</f>
        <v>316.38</v>
      </c>
      <c r="W1654" s="744"/>
      <c r="AE1654" s="283">
        <f t="shared" si="220"/>
        <v>0</v>
      </c>
    </row>
    <row r="1655" spans="6:31" ht="24" customHeight="1">
      <c r="K1655" s="748" t="s">
        <v>2055</v>
      </c>
      <c r="W1655" s="744"/>
      <c r="AE1655" s="283">
        <f t="shared" si="220"/>
        <v>0</v>
      </c>
    </row>
    <row r="1656" spans="6:31" ht="24" customHeight="1">
      <c r="F1656" s="744" t="s">
        <v>2038</v>
      </c>
      <c r="G1656" s="283" t="s">
        <v>2251</v>
      </c>
      <c r="H1656" s="374" t="s">
        <v>2039</v>
      </c>
      <c r="W1656" s="744"/>
      <c r="AE1656" s="283">
        <f t="shared" si="220"/>
        <v>0</v>
      </c>
    </row>
    <row r="1657" spans="6:31" ht="24" customHeight="1">
      <c r="H1657" s="374" t="s">
        <v>1211</v>
      </c>
      <c r="W1657" s="744"/>
      <c r="AE1657" s="283">
        <f t="shared" si="220"/>
        <v>0</v>
      </c>
    </row>
    <row r="1658" spans="6:31" ht="24" customHeight="1">
      <c r="H1658" s="374" t="s">
        <v>1212</v>
      </c>
      <c r="J1658" s="374" t="s">
        <v>975</v>
      </c>
      <c r="W1658" s="744"/>
      <c r="AE1658" s="283">
        <f t="shared" si="220"/>
        <v>0</v>
      </c>
    </row>
    <row r="1659" spans="6:31" ht="24" customHeight="1">
      <c r="H1659" s="374" t="s">
        <v>1107</v>
      </c>
      <c r="W1659" s="744"/>
      <c r="AE1659" s="283">
        <f t="shared" si="220"/>
        <v>0</v>
      </c>
    </row>
    <row r="1660" spans="6:31" ht="24" customHeight="1">
      <c r="H1660" s="374" t="s">
        <v>1026</v>
      </c>
      <c r="W1660" s="744"/>
      <c r="AE1660" s="283">
        <f t="shared" si="220"/>
        <v>0</v>
      </c>
    </row>
    <row r="1661" spans="6:31" ht="24" customHeight="1">
      <c r="H1661" s="374" t="s">
        <v>1812</v>
      </c>
      <c r="W1661" s="744"/>
      <c r="AE1661" s="283">
        <f t="shared" si="220"/>
        <v>0</v>
      </c>
    </row>
    <row r="1662" spans="6:31" ht="24" customHeight="1">
      <c r="H1662" s="374" t="s">
        <v>278</v>
      </c>
      <c r="W1662" s="744"/>
      <c r="AE1662" s="283">
        <f t="shared" si="220"/>
        <v>0</v>
      </c>
    </row>
    <row r="1663" spans="6:31" ht="24" customHeight="1">
      <c r="H1663" s="374" t="s">
        <v>279</v>
      </c>
      <c r="W1663" s="744"/>
      <c r="AE1663" s="283">
        <f t="shared" ref="AE1663:AE1696" si="223">AG1663</f>
        <v>0</v>
      </c>
    </row>
    <row r="1664" spans="6:31" ht="24" customHeight="1">
      <c r="H1664" s="374" t="s">
        <v>280</v>
      </c>
      <c r="W1664" s="744"/>
      <c r="AE1664" s="283">
        <f t="shared" si="223"/>
        <v>0</v>
      </c>
    </row>
    <row r="1665" spans="6:31" ht="24" customHeight="1">
      <c r="H1665" s="748" t="s">
        <v>2055</v>
      </c>
      <c r="W1665" s="744"/>
      <c r="AE1665" s="283">
        <f t="shared" si="223"/>
        <v>0</v>
      </c>
    </row>
    <row r="1666" spans="6:31" ht="24" customHeight="1">
      <c r="W1666" s="744"/>
      <c r="AE1666" s="283">
        <f t="shared" si="223"/>
        <v>0</v>
      </c>
    </row>
    <row r="1667" spans="6:31" ht="24" customHeight="1">
      <c r="F1667" s="283">
        <v>1</v>
      </c>
      <c r="G1667" s="283" t="s">
        <v>826</v>
      </c>
      <c r="H1667" s="374" t="s">
        <v>3506</v>
      </c>
      <c r="I1667" s="283">
        <v>45.72</v>
      </c>
      <c r="J1667" s="374" t="s">
        <v>826</v>
      </c>
      <c r="K1667" s="283">
        <f>(F1667*I1667)</f>
        <v>45.72</v>
      </c>
      <c r="W1667" s="744"/>
      <c r="AE1667" s="283">
        <f t="shared" si="223"/>
        <v>0</v>
      </c>
    </row>
    <row r="1668" spans="6:31" ht="24" customHeight="1">
      <c r="F1668" s="283">
        <v>1</v>
      </c>
      <c r="G1668" s="283" t="s">
        <v>282</v>
      </c>
      <c r="H1668" s="374" t="s">
        <v>1155</v>
      </c>
      <c r="I1668" s="283">
        <v>5</v>
      </c>
      <c r="J1668" s="374" t="s">
        <v>282</v>
      </c>
      <c r="K1668" s="283">
        <f>(F1668*I1668)</f>
        <v>5</v>
      </c>
      <c r="W1668" s="744"/>
      <c r="AE1668" s="283">
        <f t="shared" si="223"/>
        <v>0</v>
      </c>
    </row>
    <row r="1669" spans="6:31" ht="24" customHeight="1">
      <c r="G1669" s="283" t="s">
        <v>449</v>
      </c>
      <c r="H1669" s="374" t="s">
        <v>507</v>
      </c>
      <c r="J1669" s="374" t="s">
        <v>449</v>
      </c>
      <c r="K1669" s="283">
        <v>7.28</v>
      </c>
      <c r="W1669" s="744"/>
      <c r="AE1669" s="283">
        <f t="shared" si="223"/>
        <v>0</v>
      </c>
    </row>
    <row r="1670" spans="6:31" ht="24" customHeight="1">
      <c r="K1670" s="748" t="s">
        <v>1586</v>
      </c>
      <c r="W1670" s="744"/>
      <c r="AE1670" s="283">
        <f t="shared" si="223"/>
        <v>0</v>
      </c>
    </row>
    <row r="1671" spans="6:31" ht="24" customHeight="1">
      <c r="H1671" s="744" t="s">
        <v>1639</v>
      </c>
      <c r="K1671" s="283">
        <f>SUM(K1667:K1669)</f>
        <v>58</v>
      </c>
      <c r="W1671" s="744"/>
      <c r="AE1671" s="283">
        <f t="shared" si="223"/>
        <v>0</v>
      </c>
    </row>
    <row r="1672" spans="6:31" ht="24" customHeight="1">
      <c r="K1672" s="748" t="s">
        <v>2055</v>
      </c>
      <c r="W1672" s="744"/>
      <c r="AE1672" s="283">
        <f t="shared" si="223"/>
        <v>0</v>
      </c>
    </row>
    <row r="1673" spans="6:31" ht="24" customHeight="1">
      <c r="F1673" s="744" t="s">
        <v>1640</v>
      </c>
      <c r="G1673" s="283" t="s">
        <v>2251</v>
      </c>
      <c r="H1673" s="374" t="s">
        <v>6118</v>
      </c>
      <c r="W1673" s="744"/>
      <c r="AE1673" s="283">
        <f t="shared" si="223"/>
        <v>0</v>
      </c>
    </row>
    <row r="1674" spans="6:31" ht="24" customHeight="1">
      <c r="H1674" s="374" t="s">
        <v>402</v>
      </c>
      <c r="W1674" s="744"/>
      <c r="AE1674" s="283">
        <f t="shared" si="223"/>
        <v>0</v>
      </c>
    </row>
    <row r="1675" spans="6:31" ht="24" customHeight="1">
      <c r="H1675" s="374" t="s">
        <v>403</v>
      </c>
      <c r="W1675" s="744"/>
      <c r="AE1675" s="283">
        <f t="shared" si="223"/>
        <v>0</v>
      </c>
    </row>
    <row r="1676" spans="6:31" ht="24" customHeight="1">
      <c r="H1676" s="374" t="s">
        <v>400</v>
      </c>
      <c r="W1676" s="744"/>
      <c r="AE1676" s="283">
        <f t="shared" si="223"/>
        <v>0</v>
      </c>
    </row>
    <row r="1677" spans="6:31" ht="24" customHeight="1">
      <c r="H1677" s="374" t="s">
        <v>1759</v>
      </c>
      <c r="W1677" s="744"/>
      <c r="AE1677" s="283">
        <f t="shared" si="223"/>
        <v>0</v>
      </c>
    </row>
    <row r="1678" spans="6:31" ht="24" customHeight="1">
      <c r="H1678" s="748" t="s">
        <v>1586</v>
      </c>
      <c r="I1678" s="748" t="s">
        <v>1586</v>
      </c>
      <c r="W1678" s="744"/>
      <c r="AE1678" s="283">
        <f t="shared" si="223"/>
        <v>0</v>
      </c>
    </row>
    <row r="1679" spans="6:31" ht="24" customHeight="1">
      <c r="F1679" s="283">
        <v>1</v>
      </c>
      <c r="G1679" s="283" t="s">
        <v>1760</v>
      </c>
      <c r="H1679" s="374" t="s">
        <v>1552</v>
      </c>
      <c r="I1679" s="283">
        <v>85</v>
      </c>
      <c r="J1679" s="374" t="s">
        <v>1398</v>
      </c>
      <c r="K1679" s="283">
        <f>(F1679*I1679)</f>
        <v>85</v>
      </c>
      <c r="W1679" s="744"/>
      <c r="AE1679" s="283">
        <f t="shared" si="223"/>
        <v>0</v>
      </c>
    </row>
    <row r="1680" spans="6:31" ht="24" customHeight="1">
      <c r="G1680" s="283" t="s">
        <v>449</v>
      </c>
      <c r="H1680" s="374" t="s">
        <v>1553</v>
      </c>
      <c r="J1680" s="374" t="s">
        <v>449</v>
      </c>
      <c r="K1680" s="283">
        <v>7.5</v>
      </c>
      <c r="W1680" s="744"/>
      <c r="AE1680" s="283">
        <f t="shared" si="223"/>
        <v>0</v>
      </c>
    </row>
    <row r="1681" spans="6:31" ht="24" customHeight="1">
      <c r="G1681" s="283" t="s">
        <v>449</v>
      </c>
      <c r="H1681" s="374" t="s">
        <v>623</v>
      </c>
      <c r="J1681" s="374" t="s">
        <v>449</v>
      </c>
      <c r="K1681" s="283">
        <f>1.75+0.75</f>
        <v>2.5</v>
      </c>
      <c r="W1681" s="744"/>
      <c r="AE1681" s="283">
        <f t="shared" si="223"/>
        <v>0</v>
      </c>
    </row>
    <row r="1682" spans="6:31" ht="24" customHeight="1">
      <c r="H1682" s="374" t="s">
        <v>624</v>
      </c>
      <c r="K1682" s="748" t="s">
        <v>1586</v>
      </c>
      <c r="W1682" s="744"/>
      <c r="AE1682" s="283">
        <f t="shared" si="223"/>
        <v>0</v>
      </c>
    </row>
    <row r="1683" spans="6:31" ht="24" customHeight="1">
      <c r="H1683" s="744" t="s">
        <v>1639</v>
      </c>
      <c r="K1683" s="283">
        <f>SUM(K1679:K1681)</f>
        <v>95</v>
      </c>
      <c r="W1683" s="744"/>
      <c r="AE1683" s="283">
        <f t="shared" si="223"/>
        <v>0</v>
      </c>
    </row>
    <row r="1684" spans="6:31" ht="24" customHeight="1">
      <c r="K1684" s="748" t="s">
        <v>2055</v>
      </c>
      <c r="W1684" s="744"/>
      <c r="AE1684" s="283">
        <f t="shared" si="223"/>
        <v>0</v>
      </c>
    </row>
    <row r="1685" spans="6:31" ht="24" customHeight="1">
      <c r="F1685" s="744" t="s">
        <v>625</v>
      </c>
      <c r="G1685" s="283" t="s">
        <v>2251</v>
      </c>
      <c r="H1685" s="374" t="s">
        <v>6119</v>
      </c>
      <c r="W1685" s="744"/>
      <c r="AE1685" s="283">
        <f t="shared" si="223"/>
        <v>0</v>
      </c>
    </row>
    <row r="1686" spans="6:31" ht="24" customHeight="1">
      <c r="H1686" s="374" t="s">
        <v>626</v>
      </c>
      <c r="K1686" s="374" t="s">
        <v>975</v>
      </c>
      <c r="W1686" s="744"/>
      <c r="AE1686" s="283">
        <f t="shared" si="223"/>
        <v>0</v>
      </c>
    </row>
    <row r="1687" spans="6:31" ht="24" customHeight="1">
      <c r="H1687" s="748" t="s">
        <v>1586</v>
      </c>
      <c r="W1687" s="744"/>
      <c r="AE1687" s="283">
        <f t="shared" si="223"/>
        <v>0</v>
      </c>
    </row>
    <row r="1688" spans="6:31" ht="24" customHeight="1">
      <c r="F1688" s="283">
        <v>1</v>
      </c>
      <c r="G1688" s="283" t="s">
        <v>1760</v>
      </c>
      <c r="H1688" s="374" t="s">
        <v>627</v>
      </c>
      <c r="I1688" s="283">
        <v>50</v>
      </c>
      <c r="J1688" s="374" t="s">
        <v>1398</v>
      </c>
      <c r="K1688" s="283">
        <f>(F1688*I1688)</f>
        <v>50</v>
      </c>
      <c r="W1688" s="744"/>
      <c r="AE1688" s="283">
        <f t="shared" si="223"/>
        <v>0</v>
      </c>
    </row>
    <row r="1689" spans="6:31" ht="24" customHeight="1">
      <c r="G1689" s="283" t="s">
        <v>449</v>
      </c>
      <c r="H1689" s="374" t="s">
        <v>628</v>
      </c>
      <c r="J1689" s="374" t="s">
        <v>449</v>
      </c>
      <c r="K1689" s="283">
        <v>5</v>
      </c>
      <c r="W1689" s="744"/>
      <c r="AE1689" s="283">
        <f t="shared" si="223"/>
        <v>0</v>
      </c>
    </row>
    <row r="1690" spans="6:31" ht="24" customHeight="1">
      <c r="K1690" s="748" t="s">
        <v>1586</v>
      </c>
      <c r="W1690" s="744"/>
      <c r="AE1690" s="283">
        <f t="shared" si="223"/>
        <v>0</v>
      </c>
    </row>
    <row r="1691" spans="6:31" ht="24" customHeight="1">
      <c r="H1691" s="744" t="s">
        <v>629</v>
      </c>
      <c r="K1691" s="283">
        <f>SUM(K1687:K1689)</f>
        <v>55</v>
      </c>
      <c r="W1691" s="744"/>
      <c r="AE1691" s="283">
        <f t="shared" si="223"/>
        <v>0</v>
      </c>
    </row>
    <row r="1692" spans="6:31" ht="24" customHeight="1">
      <c r="K1692" s="748" t="s">
        <v>2055</v>
      </c>
      <c r="W1692" s="744"/>
      <c r="AE1692" s="283">
        <f t="shared" si="223"/>
        <v>0</v>
      </c>
    </row>
    <row r="1693" spans="6:31" ht="24" customHeight="1">
      <c r="F1693" s="744" t="s">
        <v>2148</v>
      </c>
      <c r="G1693" s="283" t="s">
        <v>2251</v>
      </c>
      <c r="H1693" s="374" t="s">
        <v>6120</v>
      </c>
      <c r="W1693" s="744"/>
      <c r="AE1693" s="283">
        <f t="shared" si="223"/>
        <v>0</v>
      </c>
    </row>
    <row r="1694" spans="6:31" ht="24" customHeight="1">
      <c r="H1694" s="748" t="s">
        <v>1586</v>
      </c>
      <c r="I1694" s="748" t="s">
        <v>1586</v>
      </c>
      <c r="W1694" s="744"/>
      <c r="AE1694" s="283">
        <f t="shared" si="223"/>
        <v>0</v>
      </c>
    </row>
    <row r="1695" spans="6:31" ht="24" customHeight="1">
      <c r="F1695" s="283">
        <v>1</v>
      </c>
      <c r="G1695" s="283" t="s">
        <v>1760</v>
      </c>
      <c r="H1695" s="374" t="s">
        <v>2149</v>
      </c>
      <c r="I1695" s="283">
        <v>1.2</v>
      </c>
      <c r="J1695" s="374" t="s">
        <v>1398</v>
      </c>
      <c r="K1695" s="283">
        <f>(F1695*I1695)</f>
        <v>1.2</v>
      </c>
      <c r="W1695" s="744"/>
      <c r="AE1695" s="283">
        <f t="shared" si="223"/>
        <v>0</v>
      </c>
    </row>
    <row r="1696" spans="6:31" ht="24" customHeight="1">
      <c r="G1696" s="283" t="s">
        <v>449</v>
      </c>
      <c r="H1696" s="374" t="s">
        <v>628</v>
      </c>
      <c r="J1696" s="374" t="s">
        <v>449</v>
      </c>
      <c r="K1696" s="283">
        <f>K1695*0.25</f>
        <v>0.3</v>
      </c>
      <c r="W1696" s="744"/>
      <c r="AE1696" s="283">
        <f t="shared" si="223"/>
        <v>0</v>
      </c>
    </row>
    <row r="1697" spans="6:23" ht="24" customHeight="1">
      <c r="K1697" s="748" t="s">
        <v>1586</v>
      </c>
      <c r="W1697" s="744"/>
    </row>
    <row r="1698" spans="6:23" ht="24" customHeight="1">
      <c r="H1698" s="744" t="s">
        <v>629</v>
      </c>
      <c r="K1698" s="283">
        <f>SUM(K1693:K1696)</f>
        <v>1.5</v>
      </c>
      <c r="W1698" s="744"/>
    </row>
    <row r="1699" spans="6:23" ht="24" customHeight="1">
      <c r="F1699" s="374" t="s">
        <v>975</v>
      </c>
      <c r="K1699" s="748" t="s">
        <v>1586</v>
      </c>
      <c r="W1699" s="744"/>
    </row>
    <row r="1700" spans="6:23" ht="24" customHeight="1">
      <c r="F1700" s="765">
        <v>50.1</v>
      </c>
      <c r="G1700" s="283" t="s">
        <v>2251</v>
      </c>
      <c r="H1700" s="374" t="s">
        <v>2165</v>
      </c>
      <c r="W1700" s="744"/>
    </row>
    <row r="1701" spans="6:23" ht="24" customHeight="1">
      <c r="H1701" s="374" t="s">
        <v>12</v>
      </c>
      <c r="W1701" s="744"/>
    </row>
    <row r="1702" spans="6:23" ht="24" customHeight="1">
      <c r="H1702" s="374" t="s">
        <v>41</v>
      </c>
      <c r="W1702" s="744"/>
    </row>
    <row r="1703" spans="6:23" ht="24" customHeight="1">
      <c r="H1703" s="374" t="s">
        <v>42</v>
      </c>
      <c r="W1703" s="744"/>
    </row>
    <row r="1704" spans="6:23" ht="24" customHeight="1">
      <c r="H1704" s="374" t="s">
        <v>43</v>
      </c>
      <c r="W1704" s="744"/>
    </row>
    <row r="1705" spans="6:23" ht="24" customHeight="1">
      <c r="H1705" s="748" t="s">
        <v>1586</v>
      </c>
      <c r="I1705" s="748" t="s">
        <v>1586</v>
      </c>
      <c r="W1705" s="744"/>
    </row>
    <row r="1706" spans="6:23" ht="24" customHeight="1">
      <c r="F1706" s="283">
        <v>9</v>
      </c>
      <c r="G1706" s="283" t="s">
        <v>2151</v>
      </c>
      <c r="H1706" s="374" t="s">
        <v>1574</v>
      </c>
      <c r="I1706" s="283">
        <f>C74</f>
        <v>1582.2</v>
      </c>
      <c r="J1706" s="374" t="s">
        <v>2151</v>
      </c>
      <c r="K1706" s="283">
        <f>(F1706*I1706)</f>
        <v>14239.8</v>
      </c>
      <c r="W1706" s="744"/>
    </row>
    <row r="1707" spans="6:23" ht="24" customHeight="1">
      <c r="F1707" s="283">
        <v>4.5</v>
      </c>
      <c r="G1707" s="283" t="s">
        <v>2151</v>
      </c>
      <c r="H1707" s="374" t="s">
        <v>1575</v>
      </c>
      <c r="I1707" s="283">
        <f>K32</f>
        <v>5089.26</v>
      </c>
      <c r="J1707" s="374" t="s">
        <v>2151</v>
      </c>
      <c r="K1707" s="283">
        <f>(F1707*I1707)</f>
        <v>22901.67</v>
      </c>
      <c r="W1707" s="744"/>
    </row>
    <row r="1708" spans="6:23" ht="24" customHeight="1">
      <c r="F1708" s="283">
        <v>1.8</v>
      </c>
      <c r="G1708" s="283" t="s">
        <v>560</v>
      </c>
      <c r="H1708" s="374" t="s">
        <v>1576</v>
      </c>
      <c r="I1708" s="283">
        <f>C11</f>
        <v>932</v>
      </c>
      <c r="J1708" s="374" t="s">
        <v>1398</v>
      </c>
      <c r="K1708" s="283">
        <f>(F1708*I1708)</f>
        <v>1677.6</v>
      </c>
      <c r="W1708" s="744"/>
    </row>
    <row r="1709" spans="6:23" ht="24" customHeight="1">
      <c r="F1709" s="283">
        <v>17.7</v>
      </c>
      <c r="G1709" s="283" t="s">
        <v>560</v>
      </c>
      <c r="H1709" s="374" t="s">
        <v>823</v>
      </c>
      <c r="I1709" s="283">
        <f>C12</f>
        <v>651</v>
      </c>
      <c r="J1709" s="374" t="s">
        <v>1398</v>
      </c>
      <c r="K1709" s="283">
        <f>(F1709*I1709)</f>
        <v>11522.7</v>
      </c>
      <c r="W1709" s="744"/>
    </row>
    <row r="1710" spans="6:23" ht="24" customHeight="1">
      <c r="F1710" s="283">
        <v>14.1</v>
      </c>
      <c r="G1710" s="283" t="s">
        <v>560</v>
      </c>
      <c r="H1710" s="374" t="s">
        <v>1372</v>
      </c>
      <c r="I1710" s="283">
        <f>C13</f>
        <v>534</v>
      </c>
      <c r="J1710" s="374" t="s">
        <v>1398</v>
      </c>
      <c r="K1710" s="283">
        <f>(F1710*I1710)</f>
        <v>7529.4</v>
      </c>
      <c r="W1710" s="744"/>
    </row>
    <row r="1711" spans="6:23" ht="24" customHeight="1">
      <c r="K1711" s="748" t="s">
        <v>1586</v>
      </c>
      <c r="W1711" s="744"/>
    </row>
    <row r="1712" spans="6:23" ht="24" customHeight="1">
      <c r="H1712" s="744" t="s">
        <v>1577</v>
      </c>
      <c r="K1712" s="283">
        <f>SUM(K1706:K1710)</f>
        <v>57871.17</v>
      </c>
      <c r="W1712" s="744"/>
    </row>
    <row r="1713" spans="6:23" ht="24" customHeight="1">
      <c r="K1713" s="748" t="s">
        <v>1586</v>
      </c>
      <c r="W1713" s="744"/>
    </row>
    <row r="1714" spans="6:23" ht="24" customHeight="1">
      <c r="H1714" s="744" t="s">
        <v>1578</v>
      </c>
      <c r="K1714" s="751">
        <f>(K1712/10)</f>
        <v>5787.12</v>
      </c>
      <c r="W1714" s="744"/>
    </row>
    <row r="1715" spans="6:23" ht="24" customHeight="1">
      <c r="K1715" s="748" t="s">
        <v>2055</v>
      </c>
      <c r="W1715" s="744"/>
    </row>
    <row r="1716" spans="6:23" ht="24" customHeight="1">
      <c r="W1716" s="744"/>
    </row>
    <row r="1717" spans="6:23" ht="24" customHeight="1">
      <c r="G1717" s="283" t="s">
        <v>675</v>
      </c>
      <c r="H1717" s="374" t="s">
        <v>1147</v>
      </c>
      <c r="W1717" s="744"/>
    </row>
    <row r="1718" spans="6:23" ht="24" customHeight="1">
      <c r="H1718" s="374" t="s">
        <v>6121</v>
      </c>
      <c r="W1718" s="744"/>
    </row>
    <row r="1719" spans="6:23" ht="24" customHeight="1">
      <c r="H1719" s="748" t="s">
        <v>1586</v>
      </c>
      <c r="I1719" s="748" t="s">
        <v>1586</v>
      </c>
      <c r="W1719" s="744"/>
    </row>
    <row r="1720" spans="6:23" ht="24" customHeight="1">
      <c r="W1720" s="744"/>
    </row>
    <row r="1721" spans="6:23" ht="24" customHeight="1">
      <c r="F1721" s="746">
        <v>0.314</v>
      </c>
      <c r="G1721" s="283" t="s">
        <v>2151</v>
      </c>
      <c r="H1721" s="374" t="s">
        <v>442</v>
      </c>
      <c r="I1721" s="283">
        <f>K1714</f>
        <v>5787.12</v>
      </c>
      <c r="J1721" s="374" t="s">
        <v>2151</v>
      </c>
      <c r="K1721" s="283">
        <f>(F1721*I1721)</f>
        <v>1817.16</v>
      </c>
      <c r="W1721" s="744"/>
    </row>
    <row r="1722" spans="6:23" ht="24" customHeight="1">
      <c r="F1722" s="283">
        <v>18</v>
      </c>
      <c r="G1722" s="283" t="s">
        <v>560</v>
      </c>
      <c r="H1722" s="374" t="s">
        <v>4230</v>
      </c>
      <c r="I1722" s="283">
        <v>41.87</v>
      </c>
      <c r="J1722" s="374" t="s">
        <v>1398</v>
      </c>
      <c r="K1722" s="283">
        <f>(F1722*I1722)</f>
        <v>753.66</v>
      </c>
      <c r="W1722" s="744"/>
    </row>
    <row r="1723" spans="6:23" ht="24" customHeight="1">
      <c r="F1723" s="283">
        <v>18</v>
      </c>
      <c r="G1723" s="283" t="s">
        <v>560</v>
      </c>
      <c r="H1723" s="374" t="s">
        <v>539</v>
      </c>
      <c r="I1723" s="283">
        <v>1</v>
      </c>
      <c r="J1723" s="374" t="s">
        <v>1398</v>
      </c>
      <c r="K1723" s="283">
        <f>(F1723*I1723)</f>
        <v>18</v>
      </c>
      <c r="W1723" s="744"/>
    </row>
    <row r="1724" spans="6:23" ht="24" customHeight="1">
      <c r="F1724" s="283">
        <v>18</v>
      </c>
      <c r="G1724" s="283" t="s">
        <v>560</v>
      </c>
      <c r="H1724" s="374" t="s">
        <v>540</v>
      </c>
      <c r="I1724" s="283">
        <v>2</v>
      </c>
      <c r="J1724" s="374" t="s">
        <v>1398</v>
      </c>
      <c r="K1724" s="283">
        <f>(F1724*I1724)</f>
        <v>36</v>
      </c>
      <c r="W1724" s="744"/>
    </row>
    <row r="1725" spans="6:23" ht="24" customHeight="1">
      <c r="K1725" s="748" t="s">
        <v>1586</v>
      </c>
      <c r="W1725" s="744"/>
    </row>
    <row r="1726" spans="6:23" ht="24" customHeight="1">
      <c r="H1726" s="744" t="s">
        <v>1949</v>
      </c>
      <c r="K1726" s="283">
        <f>SUM(K1720:K1724)</f>
        <v>2624.82</v>
      </c>
      <c r="W1726" s="744"/>
    </row>
    <row r="1727" spans="6:23" ht="24" customHeight="1">
      <c r="K1727" s="748" t="s">
        <v>1586</v>
      </c>
      <c r="W1727" s="744"/>
    </row>
    <row r="1728" spans="6:23" ht="24" customHeight="1">
      <c r="H1728" s="744" t="s">
        <v>1950</v>
      </c>
      <c r="K1728" s="751">
        <f>(K1726/6.28)</f>
        <v>417.96</v>
      </c>
      <c r="W1728" s="744"/>
    </row>
    <row r="1729" spans="6:23" ht="24" customHeight="1">
      <c r="K1729" s="748" t="s">
        <v>2055</v>
      </c>
      <c r="W1729" s="744"/>
    </row>
    <row r="1730" spans="6:23" ht="24" customHeight="1">
      <c r="F1730" s="374" t="s">
        <v>975</v>
      </c>
      <c r="H1730" s="374" t="s">
        <v>731</v>
      </c>
      <c r="W1730" s="744"/>
    </row>
    <row r="1731" spans="6:23" ht="24" customHeight="1">
      <c r="H1731" s="748" t="s">
        <v>1586</v>
      </c>
      <c r="W1731" s="744"/>
    </row>
    <row r="1732" spans="6:23" ht="24" customHeight="1">
      <c r="F1732" s="746">
        <v>0.01</v>
      </c>
      <c r="G1732" s="283" t="s">
        <v>2151</v>
      </c>
      <c r="H1732" s="374" t="s">
        <v>442</v>
      </c>
      <c r="I1732" s="283">
        <f>K1714</f>
        <v>5787.12</v>
      </c>
      <c r="J1732" s="374" t="s">
        <v>2151</v>
      </c>
      <c r="K1732" s="283">
        <f>ROUND(F1732*I1732,2)</f>
        <v>57.87</v>
      </c>
      <c r="W1732" s="744"/>
    </row>
    <row r="1733" spans="6:23" ht="24" customHeight="1">
      <c r="F1733" s="283">
        <v>0.01</v>
      </c>
      <c r="G1733" s="283" t="s">
        <v>1341</v>
      </c>
      <c r="H1733" s="374" t="s">
        <v>732</v>
      </c>
      <c r="I1733" s="784" t="s">
        <v>657</v>
      </c>
      <c r="K1733" s="283">
        <v>1.2</v>
      </c>
      <c r="W1733" s="744"/>
    </row>
    <row r="1734" spans="6:23" ht="24" customHeight="1">
      <c r="I1734" s="784"/>
      <c r="K1734" s="748" t="s">
        <v>1586</v>
      </c>
      <c r="W1734" s="744"/>
    </row>
    <row r="1735" spans="6:23" ht="24" customHeight="1">
      <c r="H1735" s="744" t="s">
        <v>740</v>
      </c>
      <c r="K1735" s="283">
        <f>SUM(K1729:K1733)</f>
        <v>59.07</v>
      </c>
      <c r="W1735" s="744"/>
    </row>
    <row r="1736" spans="6:23" ht="24" customHeight="1">
      <c r="K1736" s="748" t="s">
        <v>1586</v>
      </c>
      <c r="W1736" s="744"/>
    </row>
    <row r="1737" spans="6:23" ht="24" customHeight="1">
      <c r="H1737" s="744" t="s">
        <v>2175</v>
      </c>
      <c r="K1737" s="283">
        <f>K1735/0.01</f>
        <v>5907</v>
      </c>
      <c r="W1737" s="744"/>
    </row>
    <row r="1738" spans="6:23" ht="24" customHeight="1">
      <c r="K1738" s="748" t="s">
        <v>2055</v>
      </c>
      <c r="W1738" s="744"/>
    </row>
    <row r="1739" spans="6:23" ht="24" customHeight="1">
      <c r="F1739" s="744" t="s">
        <v>2176</v>
      </c>
      <c r="G1739" s="283" t="s">
        <v>675</v>
      </c>
      <c r="H1739" s="374" t="s">
        <v>1147</v>
      </c>
      <c r="W1739" s="744"/>
    </row>
    <row r="1740" spans="6:23" ht="24" customHeight="1">
      <c r="H1740" s="745" t="s">
        <v>6122</v>
      </c>
      <c r="W1740" s="744"/>
    </row>
    <row r="1741" spans="6:23" ht="24" customHeight="1">
      <c r="H1741" s="748" t="s">
        <v>1586</v>
      </c>
      <c r="I1741" s="748" t="s">
        <v>1586</v>
      </c>
      <c r="W1741" s="744"/>
    </row>
    <row r="1742" spans="6:23" ht="24" customHeight="1">
      <c r="F1742" s="746">
        <v>0.40500000000000003</v>
      </c>
      <c r="G1742" s="283" t="s">
        <v>2151</v>
      </c>
      <c r="H1742" s="374" t="s">
        <v>442</v>
      </c>
      <c r="I1742" s="283">
        <f>K1737</f>
        <v>5907</v>
      </c>
      <c r="J1742" s="374" t="s">
        <v>2151</v>
      </c>
      <c r="K1742" s="283">
        <f>(F1742*I1742)</f>
        <v>2392.34</v>
      </c>
      <c r="W1742" s="744"/>
    </row>
    <row r="1743" spans="6:23" ht="24" customHeight="1">
      <c r="F1743" s="374" t="s">
        <v>975</v>
      </c>
      <c r="G1743" s="283" t="s">
        <v>975</v>
      </c>
      <c r="H1743" s="374" t="s">
        <v>1648</v>
      </c>
      <c r="I1743" s="784" t="s">
        <v>657</v>
      </c>
      <c r="K1743" s="374" t="s">
        <v>975</v>
      </c>
      <c r="W1743" s="744"/>
    </row>
    <row r="1744" spans="6:23" ht="24" customHeight="1">
      <c r="K1744" s="748" t="s">
        <v>1586</v>
      </c>
      <c r="W1744" s="744"/>
    </row>
    <row r="1745" spans="6:23" ht="24" customHeight="1">
      <c r="H1745" s="744" t="s">
        <v>1649</v>
      </c>
      <c r="K1745" s="283">
        <f>SUM(K1739:K1743)</f>
        <v>2392.34</v>
      </c>
      <c r="W1745" s="744"/>
    </row>
    <row r="1746" spans="6:23" ht="24" customHeight="1">
      <c r="K1746" s="748" t="s">
        <v>1586</v>
      </c>
      <c r="W1746" s="744"/>
    </row>
    <row r="1747" spans="6:23" ht="24" customHeight="1">
      <c r="H1747" s="744" t="s">
        <v>1650</v>
      </c>
      <c r="K1747" s="751">
        <f>K1745/9</f>
        <v>265.82</v>
      </c>
      <c r="W1747" s="744"/>
    </row>
    <row r="1748" spans="6:23" ht="24" customHeight="1">
      <c r="K1748" s="748" t="s">
        <v>2055</v>
      </c>
      <c r="W1748" s="744"/>
    </row>
    <row r="1749" spans="6:23" ht="24" customHeight="1">
      <c r="F1749" s="744" t="s">
        <v>1405</v>
      </c>
      <c r="H1749" s="374" t="s">
        <v>469</v>
      </c>
      <c r="W1749" s="744"/>
    </row>
    <row r="1750" spans="6:23" ht="24" customHeight="1">
      <c r="H1750" s="748" t="s">
        <v>1586</v>
      </c>
      <c r="W1750" s="744"/>
    </row>
    <row r="1751" spans="6:23" ht="24" customHeight="1">
      <c r="F1751" s="283">
        <v>4.32</v>
      </c>
      <c r="G1751" s="283" t="s">
        <v>869</v>
      </c>
      <c r="H1751" s="374" t="s">
        <v>357</v>
      </c>
      <c r="I1751" s="283">
        <f>C62</f>
        <v>112.05</v>
      </c>
      <c r="J1751" s="374" t="s">
        <v>869</v>
      </c>
      <c r="K1751" s="283">
        <f t="shared" ref="K1751:K1758" si="224">(F1751*I1751)</f>
        <v>484.06</v>
      </c>
      <c r="W1751" s="744"/>
    </row>
    <row r="1752" spans="6:23" ht="24" customHeight="1">
      <c r="F1752" s="283">
        <v>1.44</v>
      </c>
      <c r="G1752" s="283" t="s">
        <v>869</v>
      </c>
      <c r="H1752" s="374" t="s">
        <v>470</v>
      </c>
      <c r="I1752" s="283">
        <v>69.099999999999994</v>
      </c>
      <c r="J1752" s="374" t="s">
        <v>869</v>
      </c>
      <c r="K1752" s="283">
        <f t="shared" si="224"/>
        <v>99.5</v>
      </c>
      <c r="W1752" s="744"/>
    </row>
    <row r="1753" spans="6:23" ht="24" customHeight="1">
      <c r="F1753" s="283">
        <v>1.44</v>
      </c>
      <c r="G1753" s="283" t="s">
        <v>869</v>
      </c>
      <c r="H1753" s="374" t="s">
        <v>471</v>
      </c>
      <c r="I1753" s="283">
        <f>C35</f>
        <v>257.64999999999998</v>
      </c>
      <c r="J1753" s="374" t="s">
        <v>869</v>
      </c>
      <c r="K1753" s="283">
        <f t="shared" si="224"/>
        <v>371.02</v>
      </c>
      <c r="W1753" s="744"/>
    </row>
    <row r="1754" spans="6:23" ht="24" customHeight="1">
      <c r="F1754" s="283">
        <v>1.44</v>
      </c>
      <c r="G1754" s="283" t="s">
        <v>869</v>
      </c>
      <c r="H1754" s="374" t="s">
        <v>472</v>
      </c>
      <c r="I1754" s="283">
        <f>C79</f>
        <v>2074.06</v>
      </c>
      <c r="J1754" s="374" t="s">
        <v>869</v>
      </c>
      <c r="K1754" s="283">
        <f t="shared" si="224"/>
        <v>2986.65</v>
      </c>
      <c r="W1754" s="744"/>
    </row>
    <row r="1755" spans="6:23" ht="24" customHeight="1">
      <c r="F1755" s="283">
        <v>2.88</v>
      </c>
      <c r="G1755" s="283" t="s">
        <v>869</v>
      </c>
      <c r="H1755" s="374" t="s">
        <v>473</v>
      </c>
      <c r="I1755" s="283">
        <v>10</v>
      </c>
      <c r="J1755" s="374" t="s">
        <v>869</v>
      </c>
      <c r="K1755" s="283">
        <f t="shared" si="224"/>
        <v>28.8</v>
      </c>
      <c r="W1755" s="744"/>
    </row>
    <row r="1756" spans="6:23" ht="24" customHeight="1">
      <c r="F1756" s="283">
        <v>20</v>
      </c>
      <c r="G1756" s="283" t="s">
        <v>258</v>
      </c>
      <c r="H1756" s="374" t="s">
        <v>1624</v>
      </c>
      <c r="I1756" s="283">
        <v>46.1</v>
      </c>
      <c r="J1756" s="374" t="s">
        <v>258</v>
      </c>
      <c r="K1756" s="283">
        <f t="shared" si="224"/>
        <v>922</v>
      </c>
      <c r="W1756" s="744"/>
    </row>
    <row r="1757" spans="6:23" ht="24" customHeight="1">
      <c r="F1757" s="283">
        <v>42</v>
      </c>
      <c r="G1757" s="283" t="s">
        <v>2196</v>
      </c>
      <c r="H1757" s="374" t="s">
        <v>5320</v>
      </c>
      <c r="I1757" s="283">
        <v>17.5</v>
      </c>
      <c r="J1757" s="374" t="s">
        <v>2196</v>
      </c>
      <c r="K1757" s="283">
        <f t="shared" si="224"/>
        <v>735</v>
      </c>
      <c r="W1757" s="744"/>
    </row>
    <row r="1758" spans="6:23" ht="24" customHeight="1">
      <c r="F1758" s="283">
        <v>4.32</v>
      </c>
      <c r="G1758" s="283" t="s">
        <v>869</v>
      </c>
      <c r="H1758" s="374" t="s">
        <v>1616</v>
      </c>
      <c r="I1758" s="283">
        <f>C26</f>
        <v>38.950000000000003</v>
      </c>
      <c r="J1758" s="374" t="s">
        <v>869</v>
      </c>
      <c r="K1758" s="283">
        <f t="shared" si="224"/>
        <v>168.26</v>
      </c>
      <c r="W1758" s="744"/>
    </row>
    <row r="1759" spans="6:23" ht="24" customHeight="1">
      <c r="F1759" s="744" t="s">
        <v>733</v>
      </c>
      <c r="H1759" s="374" t="s">
        <v>1020</v>
      </c>
      <c r="K1759" s="283">
        <v>2000</v>
      </c>
      <c r="W1759" s="744"/>
    </row>
    <row r="1760" spans="6:23" ht="24" customHeight="1">
      <c r="K1760" s="748" t="s">
        <v>1586</v>
      </c>
      <c r="W1760" s="744"/>
    </row>
    <row r="1761" spans="6:23" ht="24" customHeight="1">
      <c r="H1761" s="374" t="s">
        <v>1021</v>
      </c>
      <c r="K1761" s="283">
        <f>SUM(K1751:K1759)</f>
        <v>7795.29</v>
      </c>
      <c r="W1761" s="744"/>
    </row>
    <row r="1762" spans="6:23" ht="24" customHeight="1">
      <c r="K1762" s="748" t="s">
        <v>1586</v>
      </c>
      <c r="W1762" s="744"/>
    </row>
    <row r="1763" spans="6:23" ht="24" customHeight="1">
      <c r="H1763" s="374" t="s">
        <v>1401</v>
      </c>
      <c r="K1763" s="751">
        <f>K1761/20</f>
        <v>389.76</v>
      </c>
      <c r="W1763" s="744"/>
    </row>
    <row r="1764" spans="6:23" ht="24" customHeight="1">
      <c r="K1764" s="748" t="s">
        <v>2055</v>
      </c>
      <c r="W1764" s="744"/>
    </row>
    <row r="1765" spans="6:23" ht="24" customHeight="1">
      <c r="W1765" s="744"/>
    </row>
    <row r="1766" spans="6:23" ht="24" customHeight="1">
      <c r="F1766" s="744" t="s">
        <v>1022</v>
      </c>
      <c r="H1766" s="374" t="s">
        <v>1316</v>
      </c>
      <c r="W1766" s="744"/>
    </row>
    <row r="1767" spans="6:23" ht="24" customHeight="1">
      <c r="H1767" s="748" t="s">
        <v>1586</v>
      </c>
      <c r="W1767" s="744"/>
    </row>
    <row r="1768" spans="6:23" ht="24" customHeight="1">
      <c r="F1768" s="283">
        <v>0.1</v>
      </c>
      <c r="G1768" s="283" t="s">
        <v>869</v>
      </c>
      <c r="H1768" s="374" t="s">
        <v>357</v>
      </c>
      <c r="I1768" s="283">
        <f>K91</f>
        <v>224.1</v>
      </c>
      <c r="J1768" s="374" t="s">
        <v>869</v>
      </c>
      <c r="K1768" s="283">
        <f t="shared" ref="K1768:K1773" si="225">(F1768*I1768)</f>
        <v>22.41</v>
      </c>
      <c r="W1768" s="744"/>
    </row>
    <row r="1769" spans="6:23" ht="24" customHeight="1">
      <c r="F1769" s="283">
        <v>6.3</v>
      </c>
      <c r="G1769" s="283" t="s">
        <v>2196</v>
      </c>
      <c r="H1769" s="374" t="s">
        <v>5868</v>
      </c>
      <c r="I1769" s="283">
        <v>34.6</v>
      </c>
      <c r="J1769" s="374" t="s">
        <v>2196</v>
      </c>
      <c r="K1769" s="283">
        <f t="shared" si="225"/>
        <v>217.98</v>
      </c>
      <c r="W1769" s="744"/>
    </row>
    <row r="1770" spans="6:23" ht="24" customHeight="1">
      <c r="F1770" s="283">
        <v>6.3</v>
      </c>
      <c r="G1770" s="283" t="s">
        <v>2196</v>
      </c>
      <c r="H1770" s="374" t="s">
        <v>1138</v>
      </c>
      <c r="I1770" s="283">
        <f>I1757</f>
        <v>17.5</v>
      </c>
      <c r="J1770" s="374" t="s">
        <v>2196</v>
      </c>
      <c r="K1770" s="283">
        <f t="shared" si="225"/>
        <v>110.25</v>
      </c>
      <c r="W1770" s="744"/>
    </row>
    <row r="1771" spans="6:23" ht="24" customHeight="1">
      <c r="F1771" s="283">
        <v>3.15</v>
      </c>
      <c r="G1771" s="283" t="s">
        <v>233</v>
      </c>
      <c r="H1771" s="374" t="s">
        <v>636</v>
      </c>
      <c r="I1771" s="283">
        <f>C199</f>
        <v>40.65</v>
      </c>
      <c r="J1771" s="374" t="s">
        <v>233</v>
      </c>
      <c r="K1771" s="283">
        <f t="shared" si="225"/>
        <v>128.05000000000001</v>
      </c>
      <c r="L1771" s="283" t="s">
        <v>183</v>
      </c>
      <c r="W1771" s="744"/>
    </row>
    <row r="1772" spans="6:23" ht="24" customHeight="1">
      <c r="F1772" s="283">
        <v>0.25</v>
      </c>
      <c r="G1772" s="283" t="s">
        <v>1760</v>
      </c>
      <c r="H1772" s="374" t="s">
        <v>637</v>
      </c>
      <c r="I1772" s="283">
        <f>D16</f>
        <v>932</v>
      </c>
      <c r="J1772" s="374" t="s">
        <v>1760</v>
      </c>
      <c r="K1772" s="283">
        <f t="shared" si="225"/>
        <v>233</v>
      </c>
      <c r="W1772" s="744"/>
    </row>
    <row r="1773" spans="6:23" ht="24" customHeight="1">
      <c r="F1773" s="283">
        <v>0.2</v>
      </c>
      <c r="G1773" s="283" t="s">
        <v>1760</v>
      </c>
      <c r="H1773" s="374" t="s">
        <v>638</v>
      </c>
      <c r="I1773" s="283">
        <f>AE38</f>
        <v>866</v>
      </c>
      <c r="J1773" s="374" t="s">
        <v>1760</v>
      </c>
      <c r="K1773" s="283">
        <f t="shared" si="225"/>
        <v>173.2</v>
      </c>
      <c r="W1773" s="744"/>
    </row>
    <row r="1774" spans="6:23" ht="24" customHeight="1">
      <c r="H1774" s="374" t="s">
        <v>508</v>
      </c>
      <c r="I1774" s="374" t="s">
        <v>975</v>
      </c>
      <c r="J1774" s="374" t="s">
        <v>975</v>
      </c>
      <c r="K1774" s="283">
        <v>0</v>
      </c>
      <c r="W1774" s="744"/>
    </row>
    <row r="1775" spans="6:23" ht="24" customHeight="1">
      <c r="J1775" s="374" t="s">
        <v>975</v>
      </c>
      <c r="K1775" s="748" t="s">
        <v>1586</v>
      </c>
      <c r="W1775" s="744"/>
    </row>
    <row r="1776" spans="6:23" ht="24" customHeight="1">
      <c r="F1776" s="374" t="s">
        <v>975</v>
      </c>
      <c r="G1776" s="283" t="s">
        <v>975</v>
      </c>
      <c r="H1776" s="374" t="s">
        <v>1401</v>
      </c>
      <c r="K1776" s="751">
        <f>SUM(K1768:K1775)</f>
        <v>884.89</v>
      </c>
      <c r="W1776" s="744"/>
    </row>
    <row r="1777" spans="6:23" ht="24" customHeight="1">
      <c r="H1777" s="374" t="s">
        <v>975</v>
      </c>
      <c r="K1777" s="748" t="s">
        <v>1586</v>
      </c>
      <c r="W1777" s="744"/>
    </row>
    <row r="1778" spans="6:23" ht="24" customHeight="1">
      <c r="K1778" s="748"/>
      <c r="W1778" s="744"/>
    </row>
    <row r="1779" spans="6:23" ht="24" customHeight="1">
      <c r="F1779" s="744" t="s">
        <v>593</v>
      </c>
      <c r="H1779" s="374" t="s">
        <v>930</v>
      </c>
      <c r="W1779" s="744"/>
    </row>
    <row r="1780" spans="6:23" ht="24" customHeight="1">
      <c r="H1780" s="748" t="s">
        <v>1586</v>
      </c>
      <c r="W1780" s="744"/>
    </row>
    <row r="1781" spans="6:23" ht="24" customHeight="1">
      <c r="F1781" s="783">
        <v>0.48599999999999999</v>
      </c>
      <c r="G1781" s="283" t="s">
        <v>1341</v>
      </c>
      <c r="H1781" s="374" t="s">
        <v>357</v>
      </c>
      <c r="I1781" s="283">
        <f>C62</f>
        <v>112.05</v>
      </c>
      <c r="J1781" s="374" t="s">
        <v>1341</v>
      </c>
      <c r="K1781" s="283">
        <f t="shared" ref="K1781:K1787" si="226">(F1781*I1781)</f>
        <v>54.46</v>
      </c>
      <c r="W1781" s="744"/>
    </row>
    <row r="1782" spans="6:23" ht="24" customHeight="1">
      <c r="F1782" s="783">
        <v>0.48599999999999999</v>
      </c>
      <c r="G1782" s="283" t="s">
        <v>1341</v>
      </c>
      <c r="H1782" s="374" t="s">
        <v>358</v>
      </c>
      <c r="I1782" s="283">
        <f>K205</f>
        <v>4887.9799999999996</v>
      </c>
      <c r="J1782" s="374" t="s">
        <v>1341</v>
      </c>
      <c r="K1782" s="283">
        <f t="shared" si="226"/>
        <v>2375.56</v>
      </c>
      <c r="W1782" s="744"/>
    </row>
    <row r="1783" spans="6:23" ht="24" customHeight="1">
      <c r="F1783" s="283">
        <v>81.75</v>
      </c>
      <c r="G1783" s="283" t="s">
        <v>359</v>
      </c>
      <c r="H1783" s="374" t="s">
        <v>360</v>
      </c>
      <c r="I1783" s="283">
        <f>I746</f>
        <v>53</v>
      </c>
      <c r="J1783" s="374" t="s">
        <v>359</v>
      </c>
      <c r="K1783" s="283">
        <f t="shared" si="226"/>
        <v>4332.75</v>
      </c>
      <c r="W1783" s="744"/>
    </row>
    <row r="1784" spans="6:23" ht="24" customHeight="1">
      <c r="F1784" s="283">
        <v>7.2</v>
      </c>
      <c r="G1784" s="283" t="s">
        <v>359</v>
      </c>
      <c r="H1784" s="374" t="s">
        <v>361</v>
      </c>
      <c r="I1784" s="283">
        <f>I746</f>
        <v>53</v>
      </c>
      <c r="J1784" s="374" t="s">
        <v>359</v>
      </c>
      <c r="K1784" s="283">
        <f t="shared" si="226"/>
        <v>381.6</v>
      </c>
      <c r="W1784" s="744"/>
    </row>
    <row r="1785" spans="6:23" ht="24" customHeight="1">
      <c r="F1785" s="283">
        <v>43.68</v>
      </c>
      <c r="G1785" s="283" t="s">
        <v>359</v>
      </c>
      <c r="H1785" s="374" t="s">
        <v>1556</v>
      </c>
      <c r="I1785" s="283">
        <f>I744</f>
        <v>53</v>
      </c>
      <c r="J1785" s="374" t="s">
        <v>359</v>
      </c>
      <c r="K1785" s="283">
        <f t="shared" si="226"/>
        <v>2315.04</v>
      </c>
      <c r="W1785" s="744"/>
    </row>
    <row r="1786" spans="6:23" ht="24" customHeight="1">
      <c r="F1786" s="283">
        <v>132.63</v>
      </c>
      <c r="G1786" s="283" t="s">
        <v>359</v>
      </c>
      <c r="H1786" s="374" t="s">
        <v>1557</v>
      </c>
      <c r="I1786" s="283">
        <f>C37</f>
        <v>0</v>
      </c>
      <c r="J1786" s="374" t="s">
        <v>359</v>
      </c>
      <c r="K1786" s="283">
        <f t="shared" si="226"/>
        <v>0</v>
      </c>
      <c r="W1786" s="744"/>
    </row>
    <row r="1787" spans="6:23" ht="24" customHeight="1">
      <c r="F1787" s="283">
        <v>2.2000000000000002</v>
      </c>
      <c r="G1787" s="283" t="s">
        <v>233</v>
      </c>
      <c r="H1787" s="374" t="s">
        <v>6518</v>
      </c>
      <c r="I1787" s="283">
        <v>970</v>
      </c>
      <c r="J1787" s="374" t="s">
        <v>233</v>
      </c>
      <c r="K1787" s="283">
        <f t="shared" si="226"/>
        <v>2134</v>
      </c>
      <c r="W1787" s="744"/>
    </row>
    <row r="1788" spans="6:23" ht="24" customHeight="1">
      <c r="F1788" s="784" t="s">
        <v>657</v>
      </c>
      <c r="H1788" s="374" t="s">
        <v>1558</v>
      </c>
      <c r="I1788" s="784" t="s">
        <v>657</v>
      </c>
      <c r="K1788" s="283">
        <v>250</v>
      </c>
      <c r="W1788" s="744"/>
    </row>
    <row r="1789" spans="6:23" ht="24" customHeight="1">
      <c r="F1789" s="784" t="s">
        <v>657</v>
      </c>
      <c r="H1789" s="374" t="s">
        <v>1400</v>
      </c>
      <c r="I1789" s="784" t="s">
        <v>657</v>
      </c>
      <c r="K1789" s="283">
        <v>20.47</v>
      </c>
      <c r="W1789" s="744"/>
    </row>
    <row r="1790" spans="6:23" ht="24" customHeight="1">
      <c r="K1790" s="748" t="s">
        <v>1586</v>
      </c>
      <c r="W1790" s="744"/>
    </row>
    <row r="1791" spans="6:23" ht="24" customHeight="1">
      <c r="K1791" s="283">
        <f>SUM(K1781:K1790)</f>
        <v>11863.88</v>
      </c>
      <c r="W1791" s="744"/>
    </row>
    <row r="1792" spans="6:23" ht="24" customHeight="1">
      <c r="K1792" s="748" t="s">
        <v>1586</v>
      </c>
      <c r="W1792" s="744"/>
    </row>
    <row r="1793" spans="6:23" ht="24" customHeight="1">
      <c r="K1793" s="748"/>
      <c r="W1793" s="744"/>
    </row>
    <row r="1794" spans="6:23" ht="24" customHeight="1">
      <c r="F1794" s="774">
        <v>86</v>
      </c>
      <c r="H1794" s="374" t="s">
        <v>2059</v>
      </c>
      <c r="K1794" s="283">
        <f>C807</f>
        <v>33.9</v>
      </c>
      <c r="W1794" s="744"/>
    </row>
    <row r="1795" spans="6:23" ht="24" customHeight="1">
      <c r="F1795" s="765"/>
      <c r="H1795" s="374"/>
      <c r="W1795" s="744"/>
    </row>
    <row r="1796" spans="6:23" ht="24" customHeight="1">
      <c r="F1796" s="744" t="s">
        <v>1651</v>
      </c>
      <c r="H1796" s="374" t="s">
        <v>5321</v>
      </c>
      <c r="K1796" s="784">
        <v>10.050000000000001</v>
      </c>
      <c r="W1796" s="744"/>
    </row>
    <row r="1797" spans="6:23" ht="24" customHeight="1">
      <c r="H1797" s="374" t="s">
        <v>2276</v>
      </c>
      <c r="K1797" s="283">
        <f>700*K1796</f>
        <v>7035</v>
      </c>
      <c r="W1797" s="744"/>
    </row>
    <row r="1798" spans="6:23" ht="18.95" customHeight="1">
      <c r="F1798" s="374" t="s">
        <v>975</v>
      </c>
      <c r="H1798" s="374" t="s">
        <v>2728</v>
      </c>
      <c r="K1798" s="283">
        <f>200*K1796</f>
        <v>2010</v>
      </c>
      <c r="L1798" s="283">
        <f>K1796*1000</f>
        <v>10050</v>
      </c>
      <c r="M1798" s="283">
        <f>K1796*1500</f>
        <v>15075</v>
      </c>
      <c r="W1798" s="744"/>
    </row>
    <row r="1799" spans="6:23" ht="18.95" customHeight="1">
      <c r="F1799" s="765"/>
      <c r="G1799" s="283" t="s">
        <v>2251</v>
      </c>
      <c r="H1799" s="374" t="s">
        <v>2047</v>
      </c>
      <c r="W1799" s="744"/>
    </row>
    <row r="1800" spans="6:23" ht="18.95" customHeight="1">
      <c r="H1800" s="374" t="s">
        <v>2277</v>
      </c>
      <c r="W1800" s="744"/>
    </row>
    <row r="1801" spans="6:23" ht="18.95" customHeight="1">
      <c r="H1801" s="374" t="s">
        <v>948</v>
      </c>
      <c r="W1801" s="744"/>
    </row>
    <row r="1802" spans="6:23" ht="18.95" customHeight="1">
      <c r="H1802" s="748" t="s">
        <v>1586</v>
      </c>
      <c r="W1802" s="744"/>
    </row>
    <row r="1803" spans="6:23" ht="18.95" customHeight="1">
      <c r="G1803" s="283" t="s">
        <v>2278</v>
      </c>
      <c r="H1803" s="374" t="s">
        <v>948</v>
      </c>
      <c r="K1803" s="374" t="s">
        <v>1451</v>
      </c>
      <c r="W1803" s="744"/>
    </row>
    <row r="1804" spans="6:23" ht="18.95" customHeight="1">
      <c r="H1804" s="748" t="s">
        <v>1586</v>
      </c>
      <c r="K1804" s="748" t="s">
        <v>2055</v>
      </c>
      <c r="W1804" s="744"/>
    </row>
    <row r="1805" spans="6:23" ht="18.95" customHeight="1">
      <c r="F1805" s="283">
        <v>30</v>
      </c>
      <c r="G1805" s="283" t="s">
        <v>1771</v>
      </c>
      <c r="H1805" s="374" t="s">
        <v>1664</v>
      </c>
      <c r="I1805" s="283">
        <f>(C662)</f>
        <v>11.2</v>
      </c>
      <c r="J1805" s="374" t="s">
        <v>1771</v>
      </c>
      <c r="K1805" s="283">
        <f>(F1805*I1805)</f>
        <v>336</v>
      </c>
      <c r="W1805" s="744"/>
    </row>
    <row r="1806" spans="6:23" ht="18.95" customHeight="1">
      <c r="F1806" s="374" t="s">
        <v>975</v>
      </c>
      <c r="H1806" s="374" t="s">
        <v>1667</v>
      </c>
      <c r="I1806" s="374" t="s">
        <v>975</v>
      </c>
      <c r="K1806" s="374" t="s">
        <v>975</v>
      </c>
      <c r="W1806" s="744"/>
    </row>
    <row r="1807" spans="6:23" ht="18.95" customHeight="1">
      <c r="F1807" s="283">
        <v>8</v>
      </c>
      <c r="G1807" s="283" t="s">
        <v>868</v>
      </c>
      <c r="H1807" s="374" t="s">
        <v>2144</v>
      </c>
      <c r="I1807" s="283">
        <f>(C664)</f>
        <v>8.9</v>
      </c>
      <c r="J1807" s="374" t="s">
        <v>868</v>
      </c>
      <c r="K1807" s="283">
        <f t="shared" ref="K1807:K1813" si="227">(F1807*I1807)</f>
        <v>71.2</v>
      </c>
      <c r="W1807" s="744"/>
    </row>
    <row r="1808" spans="6:23" ht="18.95" customHeight="1">
      <c r="F1808" s="283">
        <v>8</v>
      </c>
      <c r="G1808" s="283" t="s">
        <v>868</v>
      </c>
      <c r="H1808" s="374" t="s">
        <v>467</v>
      </c>
      <c r="I1808" s="283">
        <f>(C673)</f>
        <v>12.65</v>
      </c>
      <c r="J1808" s="374" t="s">
        <v>868</v>
      </c>
      <c r="K1808" s="283">
        <f t="shared" si="227"/>
        <v>101.2</v>
      </c>
      <c r="W1808" s="744"/>
    </row>
    <row r="1809" spans="6:23" ht="18.95" customHeight="1">
      <c r="F1809" s="283">
        <v>3</v>
      </c>
      <c r="G1809" s="283" t="s">
        <v>868</v>
      </c>
      <c r="H1809" s="374" t="s">
        <v>1845</v>
      </c>
      <c r="I1809" s="283">
        <f>(C41)</f>
        <v>738</v>
      </c>
      <c r="J1809" s="374" t="s">
        <v>868</v>
      </c>
      <c r="K1809" s="283">
        <f t="shared" si="227"/>
        <v>2214</v>
      </c>
      <c r="W1809" s="744"/>
    </row>
    <row r="1810" spans="6:23" ht="18.95" customHeight="1">
      <c r="F1810" s="283">
        <v>1</v>
      </c>
      <c r="G1810" s="283" t="s">
        <v>868</v>
      </c>
      <c r="H1810" s="374" t="s">
        <v>1380</v>
      </c>
      <c r="I1810" s="283">
        <f>(C10)</f>
        <v>999</v>
      </c>
      <c r="J1810" s="374" t="s">
        <v>868</v>
      </c>
      <c r="K1810" s="283">
        <f t="shared" si="227"/>
        <v>999</v>
      </c>
      <c r="W1810" s="744"/>
    </row>
    <row r="1811" spans="6:23" ht="18.95" customHeight="1">
      <c r="F1811" s="283">
        <v>2</v>
      </c>
      <c r="G1811" s="283" t="s">
        <v>868</v>
      </c>
      <c r="H1811" s="374" t="s">
        <v>1902</v>
      </c>
      <c r="I1811" s="283">
        <f>(C12)</f>
        <v>651</v>
      </c>
      <c r="J1811" s="374" t="s">
        <v>868</v>
      </c>
      <c r="K1811" s="283">
        <f t="shared" si="227"/>
        <v>1302</v>
      </c>
      <c r="W1811" s="744"/>
    </row>
    <row r="1812" spans="6:23" ht="18.95" customHeight="1">
      <c r="F1812" s="283">
        <v>1</v>
      </c>
      <c r="G1812" s="283" t="s">
        <v>868</v>
      </c>
      <c r="H1812" s="374" t="s">
        <v>320</v>
      </c>
      <c r="I1812" s="283">
        <f>(C13)</f>
        <v>534</v>
      </c>
      <c r="J1812" s="374" t="s">
        <v>868</v>
      </c>
      <c r="K1812" s="283">
        <f t="shared" si="227"/>
        <v>534</v>
      </c>
      <c r="W1812" s="744"/>
    </row>
    <row r="1813" spans="6:23" ht="18.95" customHeight="1">
      <c r="F1813" s="283">
        <v>1</v>
      </c>
      <c r="G1813" s="283" t="s">
        <v>868</v>
      </c>
      <c r="H1813" s="374" t="s">
        <v>1381</v>
      </c>
      <c r="I1813" s="784">
        <v>5</v>
      </c>
      <c r="J1813" s="374" t="s">
        <v>1398</v>
      </c>
      <c r="K1813" s="283">
        <f t="shared" si="227"/>
        <v>5</v>
      </c>
      <c r="W1813" s="744"/>
    </row>
    <row r="1814" spans="6:23" ht="18.95" customHeight="1">
      <c r="H1814" s="374" t="s">
        <v>932</v>
      </c>
      <c r="I1814" s="374" t="s">
        <v>975</v>
      </c>
      <c r="K1814" s="374" t="s">
        <v>975</v>
      </c>
      <c r="W1814" s="744"/>
    </row>
    <row r="1815" spans="6:23" ht="18.95" customHeight="1">
      <c r="G1815" s="283" t="s">
        <v>449</v>
      </c>
      <c r="H1815" s="374" t="s">
        <v>450</v>
      </c>
      <c r="J1815" s="374" t="s">
        <v>449</v>
      </c>
      <c r="K1815" s="283">
        <v>0</v>
      </c>
      <c r="W1815" s="744"/>
    </row>
    <row r="1816" spans="6:23" ht="18.95" customHeight="1">
      <c r="K1816" s="748" t="s">
        <v>1586</v>
      </c>
      <c r="W1816" s="744"/>
    </row>
    <row r="1817" spans="6:23" ht="18.95" customHeight="1">
      <c r="H1817" s="374" t="s">
        <v>1850</v>
      </c>
      <c r="K1817" s="283">
        <f>SUM(K1805:K1815)</f>
        <v>5562.4</v>
      </c>
      <c r="W1817" s="744"/>
    </row>
    <row r="1818" spans="6:23" ht="18.95" customHeight="1">
      <c r="K1818" s="748" t="s">
        <v>1586</v>
      </c>
      <c r="W1818" s="744"/>
    </row>
    <row r="1819" spans="6:23" ht="18.95" customHeight="1">
      <c r="H1819" s="374" t="s">
        <v>1545</v>
      </c>
      <c r="K1819" s="283">
        <f>(K1817/30)</f>
        <v>185.41</v>
      </c>
      <c r="W1819" s="744"/>
    </row>
    <row r="1820" spans="6:23" ht="18.95" customHeight="1">
      <c r="K1820" s="748" t="s">
        <v>1586</v>
      </c>
      <c r="W1820" s="744"/>
    </row>
    <row r="1821" spans="6:23" ht="18.95" customHeight="1">
      <c r="G1821" s="283" t="s">
        <v>520</v>
      </c>
      <c r="H1821" s="374" t="s">
        <v>948</v>
      </c>
      <c r="K1821" s="374" t="s">
        <v>21</v>
      </c>
      <c r="W1821" s="744"/>
    </row>
    <row r="1822" spans="6:23" ht="18.95" customHeight="1">
      <c r="H1822" s="748" t="s">
        <v>1586</v>
      </c>
      <c r="K1822" s="748" t="s">
        <v>2055</v>
      </c>
      <c r="W1822" s="744"/>
    </row>
    <row r="1823" spans="6:23" ht="18.95" customHeight="1">
      <c r="F1823" s="283">
        <v>30</v>
      </c>
      <c r="G1823" s="283" t="s">
        <v>1771</v>
      </c>
      <c r="H1823" s="374" t="s">
        <v>1664</v>
      </c>
      <c r="I1823" s="283">
        <f>(C662)</f>
        <v>11.2</v>
      </c>
      <c r="J1823" s="374" t="s">
        <v>1771</v>
      </c>
      <c r="K1823" s="283">
        <f>(F1823*I1823)</f>
        <v>336</v>
      </c>
      <c r="W1823" s="744"/>
    </row>
    <row r="1824" spans="6:23" ht="18.95" customHeight="1">
      <c r="F1824" s="374" t="s">
        <v>975</v>
      </c>
      <c r="H1824" s="374" t="s">
        <v>1667</v>
      </c>
      <c r="I1824" s="374" t="s">
        <v>975</v>
      </c>
      <c r="K1824" s="374" t="s">
        <v>975</v>
      </c>
      <c r="W1824" s="744"/>
    </row>
    <row r="1825" spans="6:23" ht="18.95" customHeight="1">
      <c r="F1825" s="283">
        <v>8</v>
      </c>
      <c r="G1825" s="283" t="s">
        <v>868</v>
      </c>
      <c r="H1825" s="374" t="s">
        <v>2144</v>
      </c>
      <c r="I1825" s="283">
        <f>(C664)</f>
        <v>8.9</v>
      </c>
      <c r="J1825" s="374" t="s">
        <v>868</v>
      </c>
      <c r="K1825" s="283">
        <f t="shared" ref="K1825:K1831" si="228">(F1825*I1825)</f>
        <v>71.2</v>
      </c>
      <c r="W1825" s="744"/>
    </row>
    <row r="1826" spans="6:23" ht="18.95" customHeight="1">
      <c r="F1826" s="283">
        <v>8</v>
      </c>
      <c r="G1826" s="283" t="s">
        <v>868</v>
      </c>
      <c r="H1826" s="374" t="s">
        <v>467</v>
      </c>
      <c r="I1826" s="283">
        <f>D673</f>
        <v>12.85</v>
      </c>
      <c r="J1826" s="374" t="s">
        <v>868</v>
      </c>
      <c r="K1826" s="283">
        <f t="shared" si="228"/>
        <v>102.8</v>
      </c>
      <c r="W1826" s="744"/>
    </row>
    <row r="1827" spans="6:23" ht="18.95" customHeight="1">
      <c r="F1827" s="283">
        <v>3</v>
      </c>
      <c r="G1827" s="283" t="s">
        <v>868</v>
      </c>
      <c r="H1827" s="374" t="s">
        <v>1845</v>
      </c>
      <c r="I1827" s="283">
        <f>(C41)</f>
        <v>738</v>
      </c>
      <c r="J1827" s="374" t="s">
        <v>868</v>
      </c>
      <c r="K1827" s="283">
        <f t="shared" si="228"/>
        <v>2214</v>
      </c>
      <c r="W1827" s="744"/>
    </row>
    <row r="1828" spans="6:23" ht="18.95" customHeight="1">
      <c r="F1828" s="283">
        <v>1</v>
      </c>
      <c r="G1828" s="283" t="s">
        <v>868</v>
      </c>
      <c r="H1828" s="374" t="s">
        <v>1380</v>
      </c>
      <c r="I1828" s="283">
        <f>(C10)</f>
        <v>999</v>
      </c>
      <c r="J1828" s="374" t="s">
        <v>868</v>
      </c>
      <c r="K1828" s="283">
        <f t="shared" si="228"/>
        <v>999</v>
      </c>
      <c r="W1828" s="744"/>
    </row>
    <row r="1829" spans="6:23" ht="18.95" customHeight="1">
      <c r="F1829" s="283">
        <v>2</v>
      </c>
      <c r="G1829" s="283" t="s">
        <v>868</v>
      </c>
      <c r="H1829" s="374" t="s">
        <v>1902</v>
      </c>
      <c r="I1829" s="283">
        <f>(C12)</f>
        <v>651</v>
      </c>
      <c r="J1829" s="374" t="s">
        <v>868</v>
      </c>
      <c r="K1829" s="283">
        <f t="shared" si="228"/>
        <v>1302</v>
      </c>
      <c r="W1829" s="744"/>
    </row>
    <row r="1830" spans="6:23" ht="18.95" customHeight="1">
      <c r="F1830" s="283">
        <v>1</v>
      </c>
      <c r="G1830" s="283" t="s">
        <v>868</v>
      </c>
      <c r="H1830" s="374" t="s">
        <v>320</v>
      </c>
      <c r="I1830" s="283">
        <f>(C13)</f>
        <v>534</v>
      </c>
      <c r="J1830" s="374" t="s">
        <v>868</v>
      </c>
      <c r="K1830" s="283">
        <f t="shared" si="228"/>
        <v>534</v>
      </c>
      <c r="W1830" s="744"/>
    </row>
    <row r="1831" spans="6:23" ht="18.95" customHeight="1">
      <c r="F1831" s="283">
        <v>1</v>
      </c>
      <c r="G1831" s="283" t="s">
        <v>868</v>
      </c>
      <c r="H1831" s="374" t="s">
        <v>1381</v>
      </c>
      <c r="I1831" s="784">
        <v>3</v>
      </c>
      <c r="J1831" s="374" t="s">
        <v>868</v>
      </c>
      <c r="K1831" s="283">
        <f t="shared" si="228"/>
        <v>3</v>
      </c>
      <c r="W1831" s="744"/>
    </row>
    <row r="1832" spans="6:23" ht="18.95" customHeight="1">
      <c r="H1832" s="374" t="s">
        <v>932</v>
      </c>
      <c r="I1832" s="374" t="s">
        <v>975</v>
      </c>
      <c r="K1832" s="374" t="s">
        <v>975</v>
      </c>
      <c r="W1832" s="744"/>
    </row>
    <row r="1833" spans="6:23" ht="18.95" customHeight="1">
      <c r="G1833" s="283" t="s">
        <v>449</v>
      </c>
      <c r="H1833" s="374" t="s">
        <v>450</v>
      </c>
      <c r="J1833" s="374" t="s">
        <v>449</v>
      </c>
      <c r="K1833" s="283">
        <v>0</v>
      </c>
      <c r="W1833" s="744"/>
    </row>
    <row r="1834" spans="6:23" ht="18.95" customHeight="1">
      <c r="K1834" s="748" t="s">
        <v>1586</v>
      </c>
      <c r="W1834" s="744"/>
    </row>
    <row r="1835" spans="6:23" ht="18.95" customHeight="1">
      <c r="H1835" s="374" t="s">
        <v>1850</v>
      </c>
      <c r="K1835" s="283">
        <f>SUM(K1823:K1833)</f>
        <v>5562</v>
      </c>
      <c r="W1835" s="744"/>
    </row>
    <row r="1836" spans="6:23" ht="18.95" customHeight="1">
      <c r="K1836" s="748" t="s">
        <v>1586</v>
      </c>
      <c r="W1836" s="744"/>
    </row>
    <row r="1837" spans="6:23" ht="18.95" customHeight="1">
      <c r="H1837" s="374" t="s">
        <v>1545</v>
      </c>
      <c r="K1837" s="283">
        <f>(K1835/30)</f>
        <v>185.4</v>
      </c>
      <c r="W1837" s="744"/>
    </row>
    <row r="1838" spans="6:23" ht="18.95" customHeight="1">
      <c r="K1838" s="748" t="s">
        <v>1586</v>
      </c>
      <c r="W1838" s="744"/>
    </row>
    <row r="1839" spans="6:23" ht="18.95" customHeight="1">
      <c r="G1839" s="283" t="s">
        <v>1907</v>
      </c>
      <c r="H1839" s="374" t="s">
        <v>948</v>
      </c>
      <c r="K1839" s="374" t="s">
        <v>22</v>
      </c>
      <c r="W1839" s="744"/>
    </row>
    <row r="1840" spans="6:23" ht="18.95" customHeight="1">
      <c r="H1840" s="748" t="s">
        <v>1586</v>
      </c>
      <c r="K1840" s="748" t="s">
        <v>2055</v>
      </c>
      <c r="W1840" s="744"/>
    </row>
    <row r="1841" spans="6:23" ht="18.95" customHeight="1">
      <c r="F1841" s="283">
        <v>30</v>
      </c>
      <c r="G1841" s="283" t="s">
        <v>1771</v>
      </c>
      <c r="H1841" s="374" t="s">
        <v>1664</v>
      </c>
      <c r="I1841" s="283">
        <f>(C662)</f>
        <v>11.2</v>
      </c>
      <c r="J1841" s="374" t="s">
        <v>1771</v>
      </c>
      <c r="K1841" s="283">
        <f>(F1841*I1841)</f>
        <v>336</v>
      </c>
      <c r="W1841" s="744"/>
    </row>
    <row r="1842" spans="6:23" ht="18.95" customHeight="1">
      <c r="F1842" s="374" t="s">
        <v>975</v>
      </c>
      <c r="H1842" s="374" t="s">
        <v>1667</v>
      </c>
      <c r="I1842" s="374" t="s">
        <v>975</v>
      </c>
      <c r="K1842" s="374" t="s">
        <v>975</v>
      </c>
      <c r="W1842" s="744"/>
    </row>
    <row r="1843" spans="6:23" ht="18.95" customHeight="1">
      <c r="F1843" s="283">
        <v>8</v>
      </c>
      <c r="G1843" s="283" t="s">
        <v>868</v>
      </c>
      <c r="H1843" s="374" t="s">
        <v>2144</v>
      </c>
      <c r="I1843" s="283">
        <f>D664</f>
        <v>10.65</v>
      </c>
      <c r="J1843" s="374" t="s">
        <v>868</v>
      </c>
      <c r="K1843" s="283">
        <f t="shared" ref="K1843:K1849" si="229">(F1843*I1843)</f>
        <v>85.2</v>
      </c>
      <c r="W1843" s="744"/>
    </row>
    <row r="1844" spans="6:23" ht="18.95" customHeight="1">
      <c r="F1844" s="283">
        <v>8</v>
      </c>
      <c r="G1844" s="283" t="s">
        <v>868</v>
      </c>
      <c r="H1844" s="374" t="s">
        <v>467</v>
      </c>
      <c r="I1844" s="283">
        <f>C678</f>
        <v>26.6</v>
      </c>
      <c r="J1844" s="374" t="s">
        <v>868</v>
      </c>
      <c r="K1844" s="283">
        <f t="shared" si="229"/>
        <v>212.8</v>
      </c>
      <c r="W1844" s="744"/>
    </row>
    <row r="1845" spans="6:23" ht="18.95" customHeight="1">
      <c r="F1845" s="283">
        <v>3</v>
      </c>
      <c r="G1845" s="283" t="s">
        <v>868</v>
      </c>
      <c r="H1845" s="374" t="s">
        <v>1845</v>
      </c>
      <c r="I1845" s="283">
        <f>(C41)</f>
        <v>738</v>
      </c>
      <c r="J1845" s="374" t="s">
        <v>868</v>
      </c>
      <c r="K1845" s="283">
        <f t="shared" si="229"/>
        <v>2214</v>
      </c>
      <c r="W1845" s="744"/>
    </row>
    <row r="1846" spans="6:23" ht="18.95" customHeight="1">
      <c r="F1846" s="283">
        <v>1</v>
      </c>
      <c r="G1846" s="283" t="s">
        <v>868</v>
      </c>
      <c r="H1846" s="374" t="s">
        <v>1380</v>
      </c>
      <c r="I1846" s="283">
        <f>(C10)</f>
        <v>999</v>
      </c>
      <c r="J1846" s="374" t="s">
        <v>868</v>
      </c>
      <c r="K1846" s="283">
        <f t="shared" si="229"/>
        <v>999</v>
      </c>
      <c r="W1846" s="744"/>
    </row>
    <row r="1847" spans="6:23" ht="18.95" customHeight="1">
      <c r="F1847" s="283">
        <v>2</v>
      </c>
      <c r="G1847" s="283" t="s">
        <v>868</v>
      </c>
      <c r="H1847" s="374" t="s">
        <v>1902</v>
      </c>
      <c r="I1847" s="283">
        <f>(C12)</f>
        <v>651</v>
      </c>
      <c r="J1847" s="374" t="s">
        <v>868</v>
      </c>
      <c r="K1847" s="283">
        <f t="shared" si="229"/>
        <v>1302</v>
      </c>
      <c r="W1847" s="744"/>
    </row>
    <row r="1848" spans="6:23" ht="18.95" customHeight="1">
      <c r="F1848" s="283">
        <v>1</v>
      </c>
      <c r="G1848" s="283" t="s">
        <v>868</v>
      </c>
      <c r="H1848" s="374" t="s">
        <v>320</v>
      </c>
      <c r="I1848" s="283">
        <f>(C13)</f>
        <v>534</v>
      </c>
      <c r="J1848" s="374" t="s">
        <v>868</v>
      </c>
      <c r="K1848" s="283">
        <f t="shared" si="229"/>
        <v>534</v>
      </c>
      <c r="W1848" s="744"/>
    </row>
    <row r="1849" spans="6:23" ht="18.95" customHeight="1">
      <c r="F1849" s="283">
        <v>1</v>
      </c>
      <c r="G1849" s="283" t="s">
        <v>868</v>
      </c>
      <c r="H1849" s="374" t="s">
        <v>1381</v>
      </c>
      <c r="I1849" s="784">
        <v>5.26</v>
      </c>
      <c r="J1849" s="374" t="s">
        <v>868</v>
      </c>
      <c r="K1849" s="283">
        <f t="shared" si="229"/>
        <v>5.26</v>
      </c>
      <c r="W1849" s="744"/>
    </row>
    <row r="1850" spans="6:23" ht="18.95" customHeight="1">
      <c r="H1850" s="374" t="s">
        <v>932</v>
      </c>
      <c r="I1850" s="374" t="s">
        <v>975</v>
      </c>
      <c r="K1850" s="374" t="s">
        <v>975</v>
      </c>
      <c r="W1850" s="744"/>
    </row>
    <row r="1851" spans="6:23" ht="18.95" customHeight="1">
      <c r="G1851" s="283" t="s">
        <v>449</v>
      </c>
      <c r="H1851" s="374" t="s">
        <v>450</v>
      </c>
      <c r="J1851" s="374" t="s">
        <v>449</v>
      </c>
      <c r="K1851" s="283">
        <v>0</v>
      </c>
      <c r="W1851" s="744"/>
    </row>
    <row r="1852" spans="6:23" ht="18.95" customHeight="1">
      <c r="K1852" s="748" t="s">
        <v>1586</v>
      </c>
      <c r="W1852" s="744"/>
    </row>
    <row r="1853" spans="6:23" ht="18.95" customHeight="1">
      <c r="H1853" s="374" t="s">
        <v>1850</v>
      </c>
      <c r="K1853" s="283">
        <f>SUM(K1841:K1851)</f>
        <v>5688.26</v>
      </c>
      <c r="W1853" s="744"/>
    </row>
    <row r="1854" spans="6:23" ht="18.95" customHeight="1">
      <c r="K1854" s="748" t="s">
        <v>1586</v>
      </c>
      <c r="W1854" s="744"/>
    </row>
    <row r="1855" spans="6:23" ht="18.95" customHeight="1">
      <c r="H1855" s="374" t="s">
        <v>1545</v>
      </c>
      <c r="K1855" s="283">
        <f>(K1853/30)</f>
        <v>189.61</v>
      </c>
      <c r="N1855" s="283" t="s">
        <v>1907</v>
      </c>
      <c r="O1855" s="374" t="s">
        <v>948</v>
      </c>
      <c r="Q1855" s="374"/>
      <c r="R1855" s="374" t="s">
        <v>1724</v>
      </c>
      <c r="W1855" s="744"/>
    </row>
    <row r="1856" spans="6:23" ht="18.95" customHeight="1">
      <c r="K1856" s="748" t="s">
        <v>1586</v>
      </c>
      <c r="O1856" s="748" t="s">
        <v>1586</v>
      </c>
      <c r="Q1856" s="374"/>
      <c r="R1856" s="748" t="s">
        <v>2055</v>
      </c>
      <c r="W1856" s="744"/>
    </row>
    <row r="1857" spans="6:23" ht="24" customHeight="1">
      <c r="M1857" s="283">
        <v>30</v>
      </c>
      <c r="N1857" s="283" t="s">
        <v>1771</v>
      </c>
      <c r="O1857" s="374" t="s">
        <v>1664</v>
      </c>
      <c r="P1857" s="283">
        <f>I1841</f>
        <v>11.2</v>
      </c>
      <c r="Q1857" s="374" t="s">
        <v>1771</v>
      </c>
      <c r="R1857" s="283">
        <f>(M1857*P1857)</f>
        <v>336</v>
      </c>
      <c r="W1857" s="744"/>
    </row>
    <row r="1858" spans="6:23" ht="24" customHeight="1">
      <c r="F1858" s="774">
        <v>52</v>
      </c>
      <c r="G1858" s="283" t="s">
        <v>2251</v>
      </c>
      <c r="H1858" s="374" t="s">
        <v>99</v>
      </c>
      <c r="M1858" s="374" t="s">
        <v>975</v>
      </c>
      <c r="O1858" s="374" t="s">
        <v>1667</v>
      </c>
      <c r="P1858" s="283" t="str">
        <f t="shared" ref="P1858:P1867" si="230">I1842</f>
        <v xml:space="preserve"> </v>
      </c>
      <c r="Q1858" s="374"/>
      <c r="R1858" s="374" t="s">
        <v>975</v>
      </c>
      <c r="W1858" s="744"/>
    </row>
    <row r="1859" spans="6:23" ht="24" customHeight="1">
      <c r="H1859" s="374" t="s">
        <v>2169</v>
      </c>
      <c r="M1859" s="283">
        <v>8</v>
      </c>
      <c r="N1859" s="283" t="s">
        <v>868</v>
      </c>
      <c r="O1859" s="374" t="s">
        <v>5869</v>
      </c>
      <c r="P1859" s="283">
        <f>C46</f>
        <v>13.55</v>
      </c>
      <c r="Q1859" s="374" t="s">
        <v>868</v>
      </c>
      <c r="R1859" s="283">
        <f t="shared" ref="R1859:R1864" si="231">(M1859*P1859)</f>
        <v>108.4</v>
      </c>
      <c r="W1859" s="744"/>
    </row>
    <row r="1860" spans="6:23" ht="24" customHeight="1">
      <c r="H1860" s="374" t="s">
        <v>2170</v>
      </c>
      <c r="M1860" s="283">
        <v>8</v>
      </c>
      <c r="N1860" s="283" t="s">
        <v>868</v>
      </c>
      <c r="O1860" s="374" t="s">
        <v>5870</v>
      </c>
      <c r="P1860" s="283">
        <f>C54</f>
        <v>37.85</v>
      </c>
      <c r="Q1860" s="374" t="s">
        <v>868</v>
      </c>
      <c r="R1860" s="283">
        <f t="shared" si="231"/>
        <v>302.8</v>
      </c>
      <c r="W1860" s="744"/>
    </row>
    <row r="1861" spans="6:23" ht="24" customHeight="1">
      <c r="H1861" s="374" t="s">
        <v>1406</v>
      </c>
      <c r="M1861" s="283">
        <v>3</v>
      </c>
      <c r="N1861" s="283" t="s">
        <v>868</v>
      </c>
      <c r="O1861" s="374" t="s">
        <v>1845</v>
      </c>
      <c r="P1861" s="283">
        <f t="shared" si="230"/>
        <v>738</v>
      </c>
      <c r="Q1861" s="374" t="s">
        <v>868</v>
      </c>
      <c r="R1861" s="283">
        <f t="shared" si="231"/>
        <v>2214</v>
      </c>
      <c r="W1861" s="744"/>
    </row>
    <row r="1862" spans="6:23" ht="24" customHeight="1">
      <c r="H1862" s="374" t="s">
        <v>1407</v>
      </c>
      <c r="M1862" s="283">
        <v>1</v>
      </c>
      <c r="N1862" s="283" t="s">
        <v>868</v>
      </c>
      <c r="O1862" s="374" t="s">
        <v>1380</v>
      </c>
      <c r="P1862" s="283">
        <f t="shared" si="230"/>
        <v>999</v>
      </c>
      <c r="Q1862" s="374" t="s">
        <v>868</v>
      </c>
      <c r="R1862" s="283">
        <f t="shared" si="231"/>
        <v>999</v>
      </c>
      <c r="W1862" s="744"/>
    </row>
    <row r="1863" spans="6:23" ht="24" customHeight="1">
      <c r="H1863" s="374" t="s">
        <v>1351</v>
      </c>
      <c r="M1863" s="283">
        <v>2</v>
      </c>
      <c r="N1863" s="283" t="s">
        <v>868</v>
      </c>
      <c r="O1863" s="374" t="s">
        <v>1902</v>
      </c>
      <c r="P1863" s="283">
        <f t="shared" si="230"/>
        <v>651</v>
      </c>
      <c r="Q1863" s="374" t="s">
        <v>868</v>
      </c>
      <c r="R1863" s="283">
        <f t="shared" si="231"/>
        <v>1302</v>
      </c>
      <c r="W1863" s="744"/>
    </row>
    <row r="1864" spans="6:23" ht="24" customHeight="1">
      <c r="H1864" s="374" t="s">
        <v>1352</v>
      </c>
      <c r="M1864" s="283">
        <v>1</v>
      </c>
      <c r="N1864" s="283" t="s">
        <v>868</v>
      </c>
      <c r="O1864" s="374" t="s">
        <v>320</v>
      </c>
      <c r="P1864" s="283">
        <f t="shared" si="230"/>
        <v>534</v>
      </c>
      <c r="Q1864" s="374" t="s">
        <v>868</v>
      </c>
      <c r="R1864" s="283">
        <f t="shared" si="231"/>
        <v>534</v>
      </c>
      <c r="W1864" s="744"/>
    </row>
    <row r="1865" spans="6:23" ht="24" customHeight="1">
      <c r="H1865" s="374" t="s">
        <v>710</v>
      </c>
      <c r="N1865" s="283" t="s">
        <v>449</v>
      </c>
      <c r="O1865" s="374" t="s">
        <v>1381</v>
      </c>
      <c r="P1865" s="283">
        <f t="shared" si="230"/>
        <v>5.26</v>
      </c>
      <c r="Q1865" s="374" t="s">
        <v>449</v>
      </c>
      <c r="R1865" s="283">
        <v>5</v>
      </c>
      <c r="W1865" s="744"/>
    </row>
    <row r="1866" spans="6:23" ht="24" customHeight="1">
      <c r="H1866" s="748" t="s">
        <v>2055</v>
      </c>
      <c r="I1866" s="748" t="s">
        <v>2055</v>
      </c>
      <c r="O1866" s="374" t="s">
        <v>932</v>
      </c>
      <c r="P1866" s="283" t="str">
        <f t="shared" si="230"/>
        <v xml:space="preserve"> </v>
      </c>
      <c r="Q1866" s="374"/>
      <c r="R1866" s="374" t="s">
        <v>975</v>
      </c>
      <c r="W1866" s="744"/>
    </row>
    <row r="1867" spans="6:23" ht="24" customHeight="1">
      <c r="G1867" s="283" t="s">
        <v>2251</v>
      </c>
      <c r="H1867" s="374" t="s">
        <v>918</v>
      </c>
      <c r="N1867" s="283" t="s">
        <v>449</v>
      </c>
      <c r="O1867" s="374" t="s">
        <v>450</v>
      </c>
      <c r="P1867" s="283">
        <f t="shared" si="230"/>
        <v>0</v>
      </c>
      <c r="Q1867" s="374" t="s">
        <v>449</v>
      </c>
      <c r="R1867" s="283">
        <v>0</v>
      </c>
      <c r="W1867" s="744"/>
    </row>
    <row r="1868" spans="6:23" ht="24" customHeight="1">
      <c r="H1868" s="374" t="s">
        <v>806</v>
      </c>
      <c r="Q1868" s="374"/>
      <c r="R1868" s="748" t="s">
        <v>1586</v>
      </c>
      <c r="W1868" s="744"/>
    </row>
    <row r="1869" spans="6:23" ht="24" customHeight="1">
      <c r="G1869" s="283" t="s">
        <v>316</v>
      </c>
      <c r="H1869" s="374" t="s">
        <v>807</v>
      </c>
      <c r="O1869" s="374" t="s">
        <v>1850</v>
      </c>
      <c r="Q1869" s="374"/>
      <c r="R1869" s="283">
        <f>SUM(R1857:R1867)</f>
        <v>5801.2</v>
      </c>
      <c r="W1869" s="744"/>
    </row>
    <row r="1870" spans="6:23" ht="24" customHeight="1">
      <c r="H1870" s="748" t="s">
        <v>1586</v>
      </c>
      <c r="Q1870" s="374"/>
      <c r="R1870" s="748" t="s">
        <v>1586</v>
      </c>
      <c r="W1870" s="744"/>
    </row>
    <row r="1871" spans="6:23" ht="24" customHeight="1">
      <c r="F1871" s="283">
        <v>1</v>
      </c>
      <c r="G1871" s="283" t="s">
        <v>826</v>
      </c>
      <c r="H1871" s="374" t="s">
        <v>618</v>
      </c>
      <c r="I1871" s="283">
        <f>C518</f>
        <v>26</v>
      </c>
      <c r="J1871" s="374" t="s">
        <v>826</v>
      </c>
      <c r="K1871" s="283">
        <f>(F1871*I1871)</f>
        <v>26</v>
      </c>
      <c r="O1871" s="374" t="s">
        <v>1545</v>
      </c>
      <c r="Q1871" s="374"/>
      <c r="R1871" s="283">
        <f>(R1869/30)</f>
        <v>193.37</v>
      </c>
      <c r="W1871" s="744"/>
    </row>
    <row r="1872" spans="6:23" ht="24" customHeight="1">
      <c r="F1872" s="283">
        <v>1</v>
      </c>
      <c r="G1872" s="283" t="s">
        <v>449</v>
      </c>
      <c r="H1872" s="374" t="s">
        <v>1801</v>
      </c>
      <c r="I1872" s="283">
        <f>I1871*0.7</f>
        <v>18.2</v>
      </c>
      <c r="J1872" s="374" t="s">
        <v>449</v>
      </c>
      <c r="K1872" s="283">
        <f>(F1872*I1872)</f>
        <v>18.2</v>
      </c>
      <c r="Q1872" s="374"/>
      <c r="R1872" s="748" t="s">
        <v>1586</v>
      </c>
      <c r="W1872" s="744"/>
    </row>
    <row r="1873" spans="6:23" ht="24" customHeight="1">
      <c r="F1873" s="283">
        <v>1</v>
      </c>
      <c r="G1873" s="283" t="s">
        <v>826</v>
      </c>
      <c r="H1873" s="374" t="s">
        <v>161</v>
      </c>
      <c r="I1873" s="283">
        <f>K1819</f>
        <v>185.41</v>
      </c>
      <c r="J1873" s="374" t="s">
        <v>826</v>
      </c>
      <c r="K1873" s="283">
        <f>(F1873*I1873)</f>
        <v>185.41</v>
      </c>
      <c r="W1873" s="744"/>
    </row>
    <row r="1874" spans="6:23" ht="24" customHeight="1">
      <c r="I1874" s="374" t="s">
        <v>975</v>
      </c>
      <c r="K1874" s="748" t="s">
        <v>1586</v>
      </c>
      <c r="W1874" s="744"/>
    </row>
    <row r="1875" spans="6:23" ht="24" customHeight="1">
      <c r="H1875" s="374" t="s">
        <v>377</v>
      </c>
      <c r="K1875" s="751">
        <f>SUM(K1871:K1873)</f>
        <v>229.61</v>
      </c>
      <c r="W1875" s="744"/>
    </row>
    <row r="1876" spans="6:23" ht="24" customHeight="1">
      <c r="H1876" s="374" t="s">
        <v>975</v>
      </c>
      <c r="I1876" s="374" t="s">
        <v>975</v>
      </c>
      <c r="K1876" s="748" t="s">
        <v>2055</v>
      </c>
      <c r="N1876" s="283" t="s">
        <v>1907</v>
      </c>
      <c r="O1876" s="374" t="s">
        <v>5322</v>
      </c>
      <c r="Q1876" s="374"/>
      <c r="W1876" s="744"/>
    </row>
    <row r="1877" spans="6:23" ht="24" customHeight="1">
      <c r="G1877" s="283" t="s">
        <v>520</v>
      </c>
      <c r="H1877" s="374" t="s">
        <v>742</v>
      </c>
      <c r="O1877" s="748" t="s">
        <v>1586</v>
      </c>
      <c r="Q1877" s="374"/>
      <c r="W1877" s="744"/>
    </row>
    <row r="1878" spans="6:23" ht="24" customHeight="1">
      <c r="H1878" s="748" t="s">
        <v>1586</v>
      </c>
      <c r="M1878" s="283">
        <v>1</v>
      </c>
      <c r="N1878" s="283" t="s">
        <v>826</v>
      </c>
      <c r="O1878" s="374" t="s">
        <v>2894</v>
      </c>
      <c r="P1878" s="283">
        <v>133.69999999999999</v>
      </c>
      <c r="Q1878" s="374" t="s">
        <v>826</v>
      </c>
      <c r="R1878" s="283">
        <f>(M1878*P1878)</f>
        <v>133.69999999999999</v>
      </c>
      <c r="W1878" s="744"/>
    </row>
    <row r="1879" spans="6:23" ht="24" customHeight="1">
      <c r="F1879" s="283">
        <v>1</v>
      </c>
      <c r="G1879" s="283" t="s">
        <v>826</v>
      </c>
      <c r="H1879" s="374" t="s">
        <v>743</v>
      </c>
      <c r="I1879" s="283">
        <f>C519</f>
        <v>35</v>
      </c>
      <c r="J1879" s="374" t="s">
        <v>826</v>
      </c>
      <c r="K1879" s="283">
        <f>(F1879*I1879)</f>
        <v>35</v>
      </c>
      <c r="M1879" s="283">
        <v>1</v>
      </c>
      <c r="N1879" s="283" t="s">
        <v>449</v>
      </c>
      <c r="O1879" s="374" t="s">
        <v>1672</v>
      </c>
      <c r="P1879" s="283">
        <f>P1878*0.2</f>
        <v>26.74</v>
      </c>
      <c r="Q1879" s="374" t="s">
        <v>449</v>
      </c>
      <c r="R1879" s="283">
        <f>(M1879*P1879)</f>
        <v>26.74</v>
      </c>
      <c r="W1879" s="744"/>
    </row>
    <row r="1880" spans="6:23" ht="24" customHeight="1">
      <c r="F1880" s="283">
        <v>1</v>
      </c>
      <c r="G1880" s="283" t="s">
        <v>449</v>
      </c>
      <c r="H1880" s="374" t="s">
        <v>893</v>
      </c>
      <c r="I1880" s="283">
        <f>I1879*0.4</f>
        <v>14</v>
      </c>
      <c r="J1880" s="374" t="s">
        <v>449</v>
      </c>
      <c r="K1880" s="283">
        <f>(F1880*I1880)</f>
        <v>14</v>
      </c>
      <c r="M1880" s="283">
        <v>1</v>
      </c>
      <c r="N1880" s="283" t="s">
        <v>826</v>
      </c>
      <c r="O1880" s="374" t="s">
        <v>161</v>
      </c>
      <c r="P1880" s="283">
        <f>R1871</f>
        <v>193.37</v>
      </c>
      <c r="Q1880" s="374" t="s">
        <v>826</v>
      </c>
      <c r="R1880" s="283">
        <f>(M1880*P1880)</f>
        <v>193.37</v>
      </c>
      <c r="W1880" s="744"/>
    </row>
    <row r="1881" spans="6:23" ht="24" customHeight="1">
      <c r="F1881" s="283">
        <v>1</v>
      </c>
      <c r="G1881" s="283" t="s">
        <v>826</v>
      </c>
      <c r="H1881" s="374" t="s">
        <v>161</v>
      </c>
      <c r="I1881" s="283">
        <f>K1837</f>
        <v>185.4</v>
      </c>
      <c r="J1881" s="374" t="s">
        <v>826</v>
      </c>
      <c r="K1881" s="283">
        <f>(F1881*I1881)</f>
        <v>185.4</v>
      </c>
      <c r="P1881" s="374" t="s">
        <v>975</v>
      </c>
      <c r="Q1881" s="374"/>
      <c r="R1881" s="748" t="s">
        <v>1586</v>
      </c>
      <c r="W1881" s="744"/>
    </row>
    <row r="1882" spans="6:23" ht="24" customHeight="1">
      <c r="I1882" s="374" t="s">
        <v>975</v>
      </c>
      <c r="K1882" s="748" t="s">
        <v>1586</v>
      </c>
      <c r="O1882" s="374" t="s">
        <v>377</v>
      </c>
      <c r="Q1882" s="374"/>
      <c r="R1882" s="751">
        <f>SUM(R1878:R1880)</f>
        <v>353.81</v>
      </c>
      <c r="W1882" s="744"/>
    </row>
    <row r="1883" spans="6:23" ht="24" customHeight="1">
      <c r="H1883" s="374" t="s">
        <v>377</v>
      </c>
      <c r="K1883" s="751">
        <f>SUM(K1879:K1881)</f>
        <v>234.4</v>
      </c>
      <c r="P1883" s="374" t="s">
        <v>975</v>
      </c>
      <c r="Q1883" s="374"/>
      <c r="R1883" s="748" t="s">
        <v>2055</v>
      </c>
      <c r="W1883" s="744"/>
    </row>
    <row r="1884" spans="6:23" ht="24" customHeight="1">
      <c r="I1884" s="374" t="s">
        <v>975</v>
      </c>
      <c r="K1884" s="748" t="s">
        <v>2055</v>
      </c>
      <c r="W1884" s="744"/>
    </row>
    <row r="1885" spans="6:23" ht="49.5" customHeight="1">
      <c r="G1885" s="283" t="s">
        <v>1907</v>
      </c>
      <c r="H1885" s="374" t="s">
        <v>375</v>
      </c>
      <c r="W1885" s="744"/>
    </row>
    <row r="1886" spans="6:23" ht="24" customHeight="1">
      <c r="H1886" s="748" t="s">
        <v>1586</v>
      </c>
      <c r="N1886" s="283" t="s">
        <v>1907</v>
      </c>
      <c r="O1886" s="374" t="s">
        <v>948</v>
      </c>
      <c r="Q1886" s="374"/>
      <c r="R1886" s="374" t="s">
        <v>3593</v>
      </c>
      <c r="W1886" s="744"/>
    </row>
    <row r="1887" spans="6:23" ht="24" customHeight="1">
      <c r="F1887" s="283">
        <v>1</v>
      </c>
      <c r="G1887" s="283" t="s">
        <v>826</v>
      </c>
      <c r="H1887" s="374" t="s">
        <v>1671</v>
      </c>
      <c r="I1887" s="283">
        <v>52</v>
      </c>
      <c r="J1887" s="374" t="s">
        <v>826</v>
      </c>
      <c r="K1887" s="283">
        <f>(F1887*I1887)</f>
        <v>52</v>
      </c>
      <c r="O1887" s="748" t="s">
        <v>1586</v>
      </c>
      <c r="Q1887" s="374"/>
      <c r="R1887" s="748" t="s">
        <v>2055</v>
      </c>
      <c r="W1887" s="744"/>
    </row>
    <row r="1888" spans="6:23" ht="24" customHeight="1">
      <c r="F1888" s="283">
        <v>1</v>
      </c>
      <c r="G1888" s="283" t="s">
        <v>449</v>
      </c>
      <c r="H1888" s="374" t="s">
        <v>1672</v>
      </c>
      <c r="I1888" s="283">
        <f>I1887*0.2</f>
        <v>10.4</v>
      </c>
      <c r="J1888" s="374" t="s">
        <v>449</v>
      </c>
      <c r="K1888" s="283">
        <f>(F1888*I1888)</f>
        <v>10.4</v>
      </c>
      <c r="M1888" s="283">
        <v>30</v>
      </c>
      <c r="N1888" s="283" t="s">
        <v>1771</v>
      </c>
      <c r="O1888" s="374" t="s">
        <v>5323</v>
      </c>
      <c r="P1888" s="283">
        <f>18.9*10/100+18.9</f>
        <v>20.79</v>
      </c>
      <c r="Q1888" s="374" t="s">
        <v>1771</v>
      </c>
      <c r="R1888" s="283">
        <f>(M1888*P1888)</f>
        <v>623.70000000000005</v>
      </c>
      <c r="W1888" s="744"/>
    </row>
    <row r="1889" spans="6:23" ht="24" customHeight="1">
      <c r="F1889" s="283">
        <v>1</v>
      </c>
      <c r="G1889" s="283" t="s">
        <v>826</v>
      </c>
      <c r="H1889" s="374" t="s">
        <v>161</v>
      </c>
      <c r="I1889" s="283">
        <f>K1855</f>
        <v>189.61</v>
      </c>
      <c r="J1889" s="374" t="s">
        <v>826</v>
      </c>
      <c r="K1889" s="283">
        <f>(F1889*I1889)</f>
        <v>189.61</v>
      </c>
      <c r="M1889" s="374" t="s">
        <v>975</v>
      </c>
      <c r="O1889" s="374" t="s">
        <v>6007</v>
      </c>
      <c r="P1889" s="283" t="str">
        <f t="shared" ref="P1889:P1897" si="232">P1858</f>
        <v xml:space="preserve"> </v>
      </c>
      <c r="Q1889" s="374"/>
      <c r="R1889" s="374" t="s">
        <v>975</v>
      </c>
      <c r="W1889" s="744"/>
    </row>
    <row r="1890" spans="6:23" ht="24" customHeight="1">
      <c r="I1890" s="374" t="s">
        <v>975</v>
      </c>
      <c r="K1890" s="748" t="s">
        <v>1586</v>
      </c>
      <c r="M1890" s="283">
        <v>8</v>
      </c>
      <c r="N1890" s="283" t="s">
        <v>868</v>
      </c>
      <c r="O1890" s="374" t="s">
        <v>5324</v>
      </c>
      <c r="P1890" s="283">
        <f>C47*10/100+17.35</f>
        <v>19.18</v>
      </c>
      <c r="Q1890" s="374" t="s">
        <v>868</v>
      </c>
      <c r="R1890" s="283">
        <f t="shared" ref="R1890:R1895" si="233">(M1890*P1890)</f>
        <v>153.44</v>
      </c>
      <c r="W1890" s="744"/>
    </row>
    <row r="1891" spans="6:23" ht="24" customHeight="1">
      <c r="H1891" s="374" t="s">
        <v>377</v>
      </c>
      <c r="K1891" s="751">
        <f>SUM(K1887:K1889)</f>
        <v>252.01</v>
      </c>
      <c r="M1891" s="283">
        <v>8</v>
      </c>
      <c r="N1891" s="283" t="s">
        <v>868</v>
      </c>
      <c r="O1891" s="374" t="s">
        <v>5325</v>
      </c>
      <c r="P1891" s="283">
        <f>C48*10/100+40.45</f>
        <v>42.8</v>
      </c>
      <c r="Q1891" s="374" t="s">
        <v>868</v>
      </c>
      <c r="R1891" s="283">
        <f t="shared" si="233"/>
        <v>342.4</v>
      </c>
      <c r="W1891" s="744"/>
    </row>
    <row r="1892" spans="6:23" ht="36.75" customHeight="1">
      <c r="I1892" s="374" t="s">
        <v>975</v>
      </c>
      <c r="K1892" s="748" t="s">
        <v>2055</v>
      </c>
      <c r="M1892" s="283">
        <v>3</v>
      </c>
      <c r="N1892" s="283" t="s">
        <v>868</v>
      </c>
      <c r="O1892" s="374" t="s">
        <v>1845</v>
      </c>
      <c r="P1892" s="283">
        <f t="shared" si="232"/>
        <v>738</v>
      </c>
      <c r="Q1892" s="374" t="s">
        <v>868</v>
      </c>
      <c r="R1892" s="283">
        <f t="shared" si="233"/>
        <v>2214</v>
      </c>
      <c r="W1892" s="744"/>
    </row>
    <row r="1893" spans="6:23" ht="24" customHeight="1">
      <c r="I1893" s="374"/>
      <c r="K1893" s="748"/>
      <c r="M1893" s="283">
        <v>1</v>
      </c>
      <c r="N1893" s="283" t="s">
        <v>868</v>
      </c>
      <c r="O1893" s="374" t="s">
        <v>1380</v>
      </c>
      <c r="P1893" s="283">
        <f t="shared" si="232"/>
        <v>999</v>
      </c>
      <c r="Q1893" s="374" t="s">
        <v>868</v>
      </c>
      <c r="R1893" s="283">
        <f t="shared" si="233"/>
        <v>999</v>
      </c>
      <c r="W1893" s="744"/>
    </row>
    <row r="1894" spans="6:23" ht="24" customHeight="1">
      <c r="G1894" s="283" t="s">
        <v>1907</v>
      </c>
      <c r="H1894" s="374" t="s">
        <v>3590</v>
      </c>
      <c r="M1894" s="283">
        <v>2</v>
      </c>
      <c r="N1894" s="283" t="s">
        <v>868</v>
      </c>
      <c r="O1894" s="374" t="s">
        <v>1902</v>
      </c>
      <c r="P1894" s="283">
        <f t="shared" si="232"/>
        <v>651</v>
      </c>
      <c r="Q1894" s="374" t="s">
        <v>868</v>
      </c>
      <c r="R1894" s="283">
        <f t="shared" si="233"/>
        <v>1302</v>
      </c>
      <c r="W1894" s="744"/>
    </row>
    <row r="1895" spans="6:23" ht="24" customHeight="1">
      <c r="H1895" s="748" t="s">
        <v>1586</v>
      </c>
      <c r="M1895" s="283">
        <v>1</v>
      </c>
      <c r="N1895" s="283" t="s">
        <v>868</v>
      </c>
      <c r="O1895" s="374" t="s">
        <v>320</v>
      </c>
      <c r="P1895" s="283">
        <f t="shared" si="232"/>
        <v>534</v>
      </c>
      <c r="Q1895" s="374" t="s">
        <v>868</v>
      </c>
      <c r="R1895" s="283">
        <f t="shared" si="233"/>
        <v>534</v>
      </c>
      <c r="W1895" s="744"/>
    </row>
    <row r="1896" spans="6:23" ht="24" customHeight="1">
      <c r="F1896" s="283">
        <v>1</v>
      </c>
      <c r="G1896" s="283" t="s">
        <v>826</v>
      </c>
      <c r="H1896" s="374" t="s">
        <v>3591</v>
      </c>
      <c r="I1896" s="283">
        <f>C522</f>
        <v>82</v>
      </c>
      <c r="J1896" s="374" t="s">
        <v>826</v>
      </c>
      <c r="K1896" s="283">
        <f>(F1896*I1896)</f>
        <v>82</v>
      </c>
      <c r="N1896" s="283" t="s">
        <v>449</v>
      </c>
      <c r="O1896" s="374" t="s">
        <v>1381</v>
      </c>
      <c r="P1896" s="283">
        <f t="shared" si="232"/>
        <v>5.26</v>
      </c>
      <c r="Q1896" s="374" t="s">
        <v>449</v>
      </c>
      <c r="R1896" s="283">
        <v>5.26</v>
      </c>
      <c r="W1896" s="744"/>
    </row>
    <row r="1897" spans="6:23" ht="24" customHeight="1">
      <c r="F1897" s="283">
        <v>1</v>
      </c>
      <c r="G1897" s="283" t="s">
        <v>449</v>
      </c>
      <c r="H1897" s="374" t="s">
        <v>1672</v>
      </c>
      <c r="I1897" s="283">
        <f>I1896*0.2</f>
        <v>16.399999999999999</v>
      </c>
      <c r="J1897" s="374" t="s">
        <v>449</v>
      </c>
      <c r="K1897" s="283">
        <f>(F1897*I1897)</f>
        <v>16.399999999999999</v>
      </c>
      <c r="O1897" s="374" t="s">
        <v>932</v>
      </c>
      <c r="P1897" s="283" t="str">
        <f t="shared" si="232"/>
        <v xml:space="preserve"> </v>
      </c>
      <c r="Q1897" s="374"/>
      <c r="R1897" s="374" t="s">
        <v>975</v>
      </c>
      <c r="W1897" s="744"/>
    </row>
    <row r="1898" spans="6:23" ht="24" customHeight="1">
      <c r="F1898" s="283">
        <v>1</v>
      </c>
      <c r="G1898" s="283" t="s">
        <v>826</v>
      </c>
      <c r="H1898" s="374" t="s">
        <v>161</v>
      </c>
      <c r="I1898" s="283">
        <f>I1889</f>
        <v>189.61</v>
      </c>
      <c r="J1898" s="374" t="s">
        <v>826</v>
      </c>
      <c r="K1898" s="283">
        <f>(F1898*I1898)</f>
        <v>189.61</v>
      </c>
      <c r="N1898" s="283" t="s">
        <v>449</v>
      </c>
      <c r="O1898" s="374" t="s">
        <v>450</v>
      </c>
      <c r="P1898" s="283" t="str">
        <f>I1882</f>
        <v xml:space="preserve"> </v>
      </c>
      <c r="Q1898" s="374" t="s">
        <v>449</v>
      </c>
      <c r="R1898" s="283">
        <v>0</v>
      </c>
      <c r="W1898" s="744"/>
    </row>
    <row r="1899" spans="6:23" ht="24" customHeight="1">
      <c r="I1899" s="374" t="s">
        <v>975</v>
      </c>
      <c r="K1899" s="748" t="s">
        <v>1586</v>
      </c>
      <c r="Q1899" s="374"/>
      <c r="R1899" s="748" t="s">
        <v>1586</v>
      </c>
      <c r="W1899" s="744"/>
    </row>
    <row r="1900" spans="6:23" ht="24" customHeight="1">
      <c r="H1900" s="374" t="s">
        <v>377</v>
      </c>
      <c r="K1900" s="751">
        <f>SUM(K1896:K1898)</f>
        <v>288.01</v>
      </c>
      <c r="O1900" s="374" t="s">
        <v>1850</v>
      </c>
      <c r="Q1900" s="374"/>
      <c r="R1900" s="283">
        <f>SUM(R1888:R1898)</f>
        <v>6173.8</v>
      </c>
      <c r="W1900" s="744"/>
    </row>
    <row r="1901" spans="6:23" ht="24" customHeight="1">
      <c r="I1901" s="374" t="s">
        <v>975</v>
      </c>
      <c r="K1901" s="748" t="s">
        <v>2055</v>
      </c>
      <c r="Q1901" s="374"/>
      <c r="R1901" s="748" t="s">
        <v>1586</v>
      </c>
      <c r="W1901" s="744"/>
    </row>
    <row r="1902" spans="6:23" ht="24" customHeight="1">
      <c r="I1902" s="374"/>
      <c r="K1902" s="748"/>
      <c r="O1902" s="374" t="s">
        <v>1545</v>
      </c>
      <c r="Q1902" s="374"/>
      <c r="R1902" s="283">
        <f>(R1900/30)</f>
        <v>205.79</v>
      </c>
      <c r="W1902" s="744"/>
    </row>
    <row r="1903" spans="6:23" ht="39" customHeight="1">
      <c r="F1903" s="827">
        <v>52.1</v>
      </c>
      <c r="H1903" s="786" t="s">
        <v>2201</v>
      </c>
      <c r="I1903" s="374"/>
      <c r="K1903" s="748"/>
      <c r="Q1903" s="374"/>
      <c r="R1903" s="748" t="s">
        <v>1586</v>
      </c>
      <c r="W1903" s="744"/>
    </row>
    <row r="1904" spans="6:23" ht="24" customHeight="1">
      <c r="I1904" s="374"/>
      <c r="K1904" s="748"/>
      <c r="W1904" s="744"/>
    </row>
    <row r="1905" spans="6:23" ht="24" customHeight="1">
      <c r="F1905" s="744"/>
      <c r="H1905" s="374" t="s">
        <v>2047</v>
      </c>
      <c r="I1905" s="374"/>
      <c r="K1905" s="748"/>
      <c r="W1905" s="744"/>
    </row>
    <row r="1906" spans="6:23" ht="24" customHeight="1">
      <c r="H1906" s="374" t="s">
        <v>2202</v>
      </c>
      <c r="I1906" s="374"/>
      <c r="K1906" s="748"/>
      <c r="W1906" s="744"/>
    </row>
    <row r="1907" spans="6:23" ht="24" customHeight="1">
      <c r="H1907" s="748" t="s">
        <v>1586</v>
      </c>
      <c r="I1907" s="374"/>
      <c r="K1907" s="748"/>
      <c r="N1907" s="283" t="s">
        <v>1907</v>
      </c>
      <c r="O1907" s="374" t="s">
        <v>3590</v>
      </c>
      <c r="Q1907" s="374"/>
      <c r="W1907" s="744"/>
    </row>
    <row r="1908" spans="6:23" ht="24" customHeight="1">
      <c r="F1908" s="283">
        <v>30</v>
      </c>
      <c r="G1908" s="283" t="s">
        <v>1771</v>
      </c>
      <c r="H1908" s="374" t="s">
        <v>147</v>
      </c>
      <c r="I1908" s="784">
        <f>E662</f>
        <v>17.3</v>
      </c>
      <c r="J1908" s="374" t="s">
        <v>1771</v>
      </c>
      <c r="K1908" s="283">
        <f>(F1908*I1908)</f>
        <v>519</v>
      </c>
      <c r="O1908" s="748" t="s">
        <v>1586</v>
      </c>
      <c r="Q1908" s="374"/>
      <c r="W1908" s="744"/>
    </row>
    <row r="1909" spans="6:23" ht="24" customHeight="1">
      <c r="F1909" s="283">
        <v>8</v>
      </c>
      <c r="G1909" s="283" t="s">
        <v>868</v>
      </c>
      <c r="H1909" s="374" t="s">
        <v>2144</v>
      </c>
      <c r="I1909" s="784">
        <f>C664</f>
        <v>8.9</v>
      </c>
      <c r="J1909" s="374" t="s">
        <v>868</v>
      </c>
      <c r="K1909" s="283">
        <f t="shared" ref="K1909:K1914" si="234">(F1909*I1909)</f>
        <v>71.2</v>
      </c>
      <c r="M1909" s="283">
        <v>1</v>
      </c>
      <c r="N1909" s="283" t="s">
        <v>826</v>
      </c>
      <c r="O1909" s="374" t="s">
        <v>3592</v>
      </c>
      <c r="P1909" s="283">
        <v>82</v>
      </c>
      <c r="Q1909" s="374" t="s">
        <v>826</v>
      </c>
      <c r="R1909" s="283">
        <f>(M1909*P1909)</f>
        <v>82</v>
      </c>
      <c r="W1909" s="744"/>
    </row>
    <row r="1910" spans="6:23" ht="24" customHeight="1">
      <c r="F1910" s="283">
        <v>8</v>
      </c>
      <c r="G1910" s="283" t="s">
        <v>868</v>
      </c>
      <c r="H1910" s="374" t="s">
        <v>467</v>
      </c>
      <c r="I1910" s="784">
        <f>D673</f>
        <v>12.85</v>
      </c>
      <c r="J1910" s="374" t="s">
        <v>868</v>
      </c>
      <c r="K1910" s="283">
        <f t="shared" si="234"/>
        <v>102.8</v>
      </c>
      <c r="M1910" s="283">
        <v>1</v>
      </c>
      <c r="N1910" s="283" t="s">
        <v>449</v>
      </c>
      <c r="O1910" s="374" t="s">
        <v>1672</v>
      </c>
      <c r="P1910" s="283">
        <f>P1909*0.2</f>
        <v>16.399999999999999</v>
      </c>
      <c r="Q1910" s="374" t="s">
        <v>449</v>
      </c>
      <c r="R1910" s="283">
        <f>(M1910*P1910)</f>
        <v>16.399999999999999</v>
      </c>
      <c r="W1910" s="744"/>
    </row>
    <row r="1911" spans="6:23" ht="24" customHeight="1">
      <c r="F1911" s="283">
        <v>3</v>
      </c>
      <c r="G1911" s="283" t="s">
        <v>868</v>
      </c>
      <c r="H1911" s="374" t="s">
        <v>1845</v>
      </c>
      <c r="I1911" s="784">
        <f>C41</f>
        <v>738</v>
      </c>
      <c r="J1911" s="374" t="s">
        <v>868</v>
      </c>
      <c r="K1911" s="283">
        <f t="shared" si="234"/>
        <v>2214</v>
      </c>
      <c r="M1911" s="283">
        <v>1</v>
      </c>
      <c r="N1911" s="283" t="s">
        <v>826</v>
      </c>
      <c r="O1911" s="374" t="s">
        <v>161</v>
      </c>
      <c r="P1911" s="283">
        <f>R1902</f>
        <v>205.79</v>
      </c>
      <c r="Q1911" s="374" t="s">
        <v>826</v>
      </c>
      <c r="R1911" s="283">
        <f>(M1911*P1911)</f>
        <v>205.79</v>
      </c>
      <c r="W1911" s="744"/>
    </row>
    <row r="1912" spans="6:23" ht="24" customHeight="1">
      <c r="F1912" s="283">
        <v>1</v>
      </c>
      <c r="G1912" s="283" t="s">
        <v>868</v>
      </c>
      <c r="H1912" s="374" t="s">
        <v>1380</v>
      </c>
      <c r="I1912" s="784">
        <f>C10</f>
        <v>999</v>
      </c>
      <c r="J1912" s="374" t="s">
        <v>868</v>
      </c>
      <c r="K1912" s="283">
        <f t="shared" si="234"/>
        <v>999</v>
      </c>
      <c r="P1912" s="374" t="s">
        <v>975</v>
      </c>
      <c r="Q1912" s="374"/>
      <c r="R1912" s="748" t="s">
        <v>1586</v>
      </c>
      <c r="W1912" s="744"/>
    </row>
    <row r="1913" spans="6:23" ht="24" customHeight="1">
      <c r="F1913" s="283">
        <v>2</v>
      </c>
      <c r="G1913" s="283" t="s">
        <v>868</v>
      </c>
      <c r="H1913" s="374" t="s">
        <v>1902</v>
      </c>
      <c r="I1913" s="784">
        <f>C12</f>
        <v>651</v>
      </c>
      <c r="J1913" s="374" t="s">
        <v>868</v>
      </c>
      <c r="K1913" s="283">
        <f t="shared" si="234"/>
        <v>1302</v>
      </c>
      <c r="O1913" s="374" t="s">
        <v>377</v>
      </c>
      <c r="Q1913" s="374"/>
      <c r="R1913" s="751">
        <f>SUM(R1909:R1911)</f>
        <v>304.19</v>
      </c>
      <c r="W1913" s="744"/>
    </row>
    <row r="1914" spans="6:23" ht="24" customHeight="1">
      <c r="F1914" s="283">
        <v>1</v>
      </c>
      <c r="G1914" s="283" t="s">
        <v>868</v>
      </c>
      <c r="H1914" s="374" t="s">
        <v>320</v>
      </c>
      <c r="I1914" s="784">
        <f>C13</f>
        <v>534</v>
      </c>
      <c r="J1914" s="374" t="s">
        <v>868</v>
      </c>
      <c r="K1914" s="283">
        <f t="shared" si="234"/>
        <v>534</v>
      </c>
      <c r="P1914" s="374" t="s">
        <v>975</v>
      </c>
      <c r="Q1914" s="374"/>
      <c r="R1914" s="748" t="s">
        <v>2055</v>
      </c>
      <c r="W1914" s="744"/>
    </row>
    <row r="1915" spans="6:23" ht="24" customHeight="1">
      <c r="K1915" s="748" t="s">
        <v>1586</v>
      </c>
      <c r="W1915" s="744"/>
    </row>
    <row r="1916" spans="6:23" ht="24" customHeight="1">
      <c r="H1916" s="374" t="s">
        <v>1850</v>
      </c>
      <c r="K1916" s="283">
        <f>SUM(K1908:K1914)</f>
        <v>5742</v>
      </c>
      <c r="W1916" s="744"/>
    </row>
    <row r="1917" spans="6:23" ht="24" customHeight="1">
      <c r="K1917" s="748" t="s">
        <v>1586</v>
      </c>
      <c r="W1917" s="744"/>
    </row>
    <row r="1918" spans="6:23" ht="24" customHeight="1">
      <c r="H1918" s="374" t="s">
        <v>1545</v>
      </c>
      <c r="K1918" s="283">
        <f>(K1916/30)</f>
        <v>191.4</v>
      </c>
      <c r="W1918" s="744"/>
    </row>
    <row r="1919" spans="6:23" ht="24" customHeight="1">
      <c r="K1919" s="748" t="s">
        <v>1586</v>
      </c>
      <c r="W1919" s="744"/>
    </row>
    <row r="1920" spans="6:23" ht="24" customHeight="1">
      <c r="I1920" s="374"/>
      <c r="K1920" s="748"/>
      <c r="W1920" s="744"/>
    </row>
    <row r="1921" spans="6:23" ht="24" customHeight="1">
      <c r="H1921" s="283" t="s">
        <v>337</v>
      </c>
      <c r="I1921" s="374"/>
      <c r="K1921" s="748"/>
      <c r="W1921" s="744"/>
    </row>
    <row r="1922" spans="6:23" ht="24" customHeight="1">
      <c r="H1922" s="748" t="s">
        <v>1586</v>
      </c>
      <c r="I1922" s="374"/>
      <c r="K1922" s="748"/>
      <c r="W1922" s="744"/>
    </row>
    <row r="1923" spans="6:23" ht="24" customHeight="1">
      <c r="F1923" s="283">
        <v>1</v>
      </c>
      <c r="G1923" s="283" t="s">
        <v>826</v>
      </c>
      <c r="H1923" s="374" t="s">
        <v>338</v>
      </c>
      <c r="I1923" s="784">
        <f>E699</f>
        <v>98.6</v>
      </c>
      <c r="J1923" s="374" t="s">
        <v>826</v>
      </c>
      <c r="K1923" s="283">
        <f>(F1923*I1923)</f>
        <v>98.6</v>
      </c>
      <c r="W1923" s="744"/>
    </row>
    <row r="1924" spans="6:23" ht="24" customHeight="1">
      <c r="F1924" s="283">
        <v>1</v>
      </c>
      <c r="G1924" s="283" t="s">
        <v>449</v>
      </c>
      <c r="H1924" s="374" t="s">
        <v>339</v>
      </c>
      <c r="I1924" s="784">
        <f>I1923*0.2</f>
        <v>19.72</v>
      </c>
      <c r="J1924" s="374" t="s">
        <v>449</v>
      </c>
      <c r="K1924" s="283">
        <f>(F1924*I1924)</f>
        <v>19.72</v>
      </c>
      <c r="W1924" s="744"/>
    </row>
    <row r="1925" spans="6:23" ht="24" customHeight="1">
      <c r="F1925" s="283">
        <v>1</v>
      </c>
      <c r="G1925" s="283" t="s">
        <v>826</v>
      </c>
      <c r="H1925" s="374" t="s">
        <v>161</v>
      </c>
      <c r="I1925" s="784">
        <f>K1918</f>
        <v>191.4</v>
      </c>
      <c r="J1925" s="374" t="s">
        <v>826</v>
      </c>
      <c r="K1925" s="283">
        <f>(F1925*I1925)</f>
        <v>191.4</v>
      </c>
      <c r="W1925" s="744"/>
    </row>
    <row r="1926" spans="6:23" ht="24" customHeight="1">
      <c r="H1926" s="777" t="s">
        <v>1076</v>
      </c>
      <c r="I1926" s="784"/>
      <c r="J1926" s="374" t="s">
        <v>449</v>
      </c>
      <c r="K1926" s="283">
        <f>1.25+0.47</f>
        <v>1.72</v>
      </c>
      <c r="W1926" s="744"/>
    </row>
    <row r="1927" spans="6:23" ht="24" customHeight="1">
      <c r="I1927" s="374"/>
      <c r="K1927" s="748" t="s">
        <v>1586</v>
      </c>
      <c r="W1927" s="744"/>
    </row>
    <row r="1928" spans="6:23" ht="24" customHeight="1">
      <c r="H1928" s="374" t="s">
        <v>377</v>
      </c>
      <c r="I1928" s="374"/>
      <c r="K1928" s="751">
        <f>SUM(K1923:K1926)</f>
        <v>311.44</v>
      </c>
      <c r="W1928" s="744"/>
    </row>
    <row r="1929" spans="6:23" ht="24" customHeight="1">
      <c r="I1929" s="374"/>
      <c r="K1929" s="748" t="s">
        <v>2055</v>
      </c>
      <c r="W1929" s="744"/>
    </row>
    <row r="1930" spans="6:23" ht="24" customHeight="1">
      <c r="I1930" s="374"/>
      <c r="K1930" s="748"/>
      <c r="W1930" s="744"/>
    </row>
    <row r="1931" spans="6:23" ht="24" customHeight="1">
      <c r="I1931" s="374"/>
      <c r="K1931" s="748"/>
      <c r="W1931" s="744"/>
    </row>
    <row r="1932" spans="6:23" ht="24" customHeight="1">
      <c r="F1932" s="765">
        <v>53.1</v>
      </c>
      <c r="G1932" s="283" t="s">
        <v>2251</v>
      </c>
      <c r="H1932" s="374" t="s">
        <v>2219</v>
      </c>
      <c r="W1932" s="744"/>
    </row>
    <row r="1933" spans="6:23" ht="24" customHeight="1">
      <c r="H1933" s="745" t="s">
        <v>6123</v>
      </c>
      <c r="W1933" s="744"/>
    </row>
    <row r="1934" spans="6:23" ht="24" customHeight="1">
      <c r="H1934" s="374" t="s">
        <v>1142</v>
      </c>
      <c r="W1934" s="744"/>
    </row>
    <row r="1935" spans="6:23" ht="24" customHeight="1">
      <c r="H1935" s="374" t="s">
        <v>1143</v>
      </c>
      <c r="W1935" s="744"/>
    </row>
    <row r="1936" spans="6:23" ht="24" customHeight="1">
      <c r="H1936" s="748" t="s">
        <v>1586</v>
      </c>
      <c r="W1936" s="744"/>
    </row>
    <row r="1937" spans="6:23" ht="85.5" customHeight="1">
      <c r="F1937" s="828">
        <v>1</v>
      </c>
      <c r="G1937" s="828" t="s">
        <v>868</v>
      </c>
      <c r="H1937" s="777" t="s">
        <v>1579</v>
      </c>
      <c r="I1937" s="828">
        <v>1672</v>
      </c>
      <c r="J1937" s="829" t="s">
        <v>868</v>
      </c>
      <c r="K1937" s="828">
        <f>(F1937*I1937)</f>
        <v>1672</v>
      </c>
      <c r="W1937" s="744"/>
    </row>
    <row r="1938" spans="6:23" ht="24" customHeight="1">
      <c r="H1938" s="374"/>
      <c r="W1938" s="744"/>
    </row>
    <row r="1939" spans="6:23" ht="24" customHeight="1">
      <c r="H1939" s="374"/>
      <c r="J1939" s="744"/>
      <c r="W1939" s="744"/>
    </row>
    <row r="1940" spans="6:23" ht="24" customHeight="1">
      <c r="F1940" s="828">
        <v>1</v>
      </c>
      <c r="G1940" s="828" t="s">
        <v>868</v>
      </c>
      <c r="H1940" s="374" t="s">
        <v>5871</v>
      </c>
      <c r="I1940" s="283">
        <v>-169</v>
      </c>
      <c r="J1940" s="374" t="s">
        <v>868</v>
      </c>
      <c r="K1940" s="828">
        <f>(F1940*I1940)</f>
        <v>-169</v>
      </c>
      <c r="W1940" s="744"/>
    </row>
    <row r="1941" spans="6:23" ht="24" customHeight="1">
      <c r="H1941" s="374"/>
      <c r="J1941" s="744"/>
      <c r="W1941" s="744"/>
    </row>
    <row r="1942" spans="6:23" ht="24" customHeight="1">
      <c r="F1942" s="283">
        <v>1</v>
      </c>
      <c r="G1942" s="283" t="s">
        <v>868</v>
      </c>
      <c r="H1942" s="374" t="s">
        <v>2133</v>
      </c>
      <c r="I1942" s="283">
        <v>250</v>
      </c>
      <c r="J1942" s="374" t="s">
        <v>868</v>
      </c>
      <c r="K1942" s="828">
        <f>(F1942*I1942)</f>
        <v>250</v>
      </c>
      <c r="W1942" s="744"/>
    </row>
    <row r="1943" spans="6:23" ht="24" customHeight="1">
      <c r="H1943" s="374"/>
      <c r="W1943" s="744"/>
    </row>
    <row r="1944" spans="6:23" ht="24" customHeight="1">
      <c r="F1944" s="283">
        <v>0.5</v>
      </c>
      <c r="G1944" s="283" t="s">
        <v>868</v>
      </c>
      <c r="H1944" s="374" t="s">
        <v>2103</v>
      </c>
      <c r="I1944" s="283">
        <f>(C15)</f>
        <v>866</v>
      </c>
      <c r="J1944" s="374" t="s">
        <v>868</v>
      </c>
      <c r="K1944" s="283">
        <f>(F1944*I1944)</f>
        <v>433</v>
      </c>
      <c r="N1944" s="283">
        <f>7635</f>
        <v>7635</v>
      </c>
      <c r="W1944" s="744"/>
    </row>
    <row r="1945" spans="6:23" ht="24" customHeight="1">
      <c r="F1945" s="283">
        <v>1</v>
      </c>
      <c r="G1945" s="283" t="s">
        <v>868</v>
      </c>
      <c r="H1945" s="374" t="s">
        <v>1902</v>
      </c>
      <c r="I1945" s="283">
        <f>(C12)</f>
        <v>651</v>
      </c>
      <c r="J1945" s="374" t="s">
        <v>868</v>
      </c>
      <c r="K1945" s="283">
        <f>(F1945*I1945)</f>
        <v>651</v>
      </c>
      <c r="N1945" s="283">
        <f>N1944*4%</f>
        <v>305.39999999999998</v>
      </c>
      <c r="W1945" s="744"/>
    </row>
    <row r="1946" spans="6:23" ht="24" customHeight="1">
      <c r="F1946" s="283">
        <v>0.5</v>
      </c>
      <c r="G1946" s="283" t="s">
        <v>868</v>
      </c>
      <c r="H1946" s="374" t="s">
        <v>2009</v>
      </c>
      <c r="I1946" s="283">
        <f>(C10)</f>
        <v>999</v>
      </c>
      <c r="J1946" s="374" t="s">
        <v>868</v>
      </c>
      <c r="K1946" s="283">
        <f>(F1946*I1946)</f>
        <v>499.5</v>
      </c>
      <c r="N1946" s="283">
        <f>SUM(N1944:N1945)</f>
        <v>7940.4</v>
      </c>
      <c r="W1946" s="744"/>
    </row>
    <row r="1947" spans="6:23" ht="24" customHeight="1">
      <c r="G1947" s="283" t="s">
        <v>449</v>
      </c>
      <c r="H1947" s="374" t="s">
        <v>1144</v>
      </c>
      <c r="J1947" s="374" t="s">
        <v>449</v>
      </c>
      <c r="K1947" s="283">
        <v>0.82</v>
      </c>
      <c r="W1947" s="744"/>
    </row>
    <row r="1948" spans="6:23" ht="24" customHeight="1">
      <c r="K1948" s="748" t="s">
        <v>1586</v>
      </c>
      <c r="W1948" s="744"/>
    </row>
    <row r="1949" spans="6:23" ht="24" customHeight="1">
      <c r="H1949" s="374" t="s">
        <v>1751</v>
      </c>
      <c r="K1949" s="283">
        <f>SUM(K1937:K1947)</f>
        <v>3337.32</v>
      </c>
      <c r="W1949" s="744"/>
    </row>
    <row r="1950" spans="6:23" ht="24" customHeight="1">
      <c r="K1950" s="748" t="s">
        <v>1586</v>
      </c>
      <c r="W1950" s="744"/>
    </row>
    <row r="1951" spans="6:23" ht="24" customHeight="1">
      <c r="F1951" s="744" t="s">
        <v>1402</v>
      </c>
      <c r="H1951" s="374" t="s">
        <v>1403</v>
      </c>
      <c r="J1951" s="374" t="s">
        <v>1398</v>
      </c>
      <c r="K1951" s="374">
        <v>967.5</v>
      </c>
      <c r="V1951" s="374" t="s">
        <v>1451</v>
      </c>
      <c r="W1951" s="744"/>
    </row>
    <row r="1952" spans="6:23" ht="24" customHeight="1">
      <c r="H1952" s="374" t="s">
        <v>5872</v>
      </c>
      <c r="J1952" s="374" t="s">
        <v>1398</v>
      </c>
      <c r="K1952" s="374">
        <v>1864</v>
      </c>
      <c r="W1952" s="744"/>
    </row>
    <row r="1953" spans="6:23" ht="24" customHeight="1">
      <c r="F1953" s="744" t="s">
        <v>1404</v>
      </c>
      <c r="H1953" s="374" t="s">
        <v>1009</v>
      </c>
      <c r="J1953" s="374" t="s">
        <v>1398</v>
      </c>
      <c r="K1953" s="374">
        <v>30</v>
      </c>
      <c r="W1953" s="744"/>
    </row>
    <row r="1954" spans="6:23" ht="24" customHeight="1">
      <c r="F1954" s="744"/>
      <c r="H1954" s="374"/>
      <c r="K1954" s="374"/>
      <c r="W1954" s="744"/>
    </row>
    <row r="1955" spans="6:23" ht="24" customHeight="1">
      <c r="F1955" s="774">
        <v>54</v>
      </c>
      <c r="G1955" s="283" t="s">
        <v>2251</v>
      </c>
      <c r="H1955" s="374" t="s">
        <v>5326</v>
      </c>
      <c r="J1955" s="374" t="s">
        <v>1398</v>
      </c>
      <c r="K1955" s="283">
        <v>206</v>
      </c>
      <c r="W1955" s="744"/>
    </row>
    <row r="1956" spans="6:23" ht="24" customHeight="1">
      <c r="K1956" s="748" t="s">
        <v>2055</v>
      </c>
      <c r="W1956" s="744"/>
    </row>
    <row r="1957" spans="6:23" ht="24" customHeight="1">
      <c r="W1957" s="744"/>
    </row>
    <row r="1958" spans="6:23" ht="24" customHeight="1">
      <c r="F1958" s="765">
        <v>54.1</v>
      </c>
      <c r="G1958" s="283" t="s">
        <v>2251</v>
      </c>
      <c r="H1958" s="374" t="s">
        <v>1294</v>
      </c>
      <c r="J1958" s="374" t="s">
        <v>1398</v>
      </c>
      <c r="K1958" s="283">
        <v>300</v>
      </c>
      <c r="W1958" s="744"/>
    </row>
    <row r="1959" spans="6:23" ht="24" customHeight="1">
      <c r="K1959" s="748" t="s">
        <v>2055</v>
      </c>
      <c r="W1959" s="744"/>
    </row>
    <row r="1960" spans="6:23" ht="24" customHeight="1">
      <c r="W1960" s="744"/>
    </row>
    <row r="1961" spans="6:23" ht="24" customHeight="1">
      <c r="F1961" s="765">
        <v>54.2</v>
      </c>
      <c r="G1961" s="283" t="s">
        <v>2251</v>
      </c>
      <c r="H1961" s="374" t="s">
        <v>938</v>
      </c>
      <c r="J1961" s="374" t="s">
        <v>1398</v>
      </c>
      <c r="K1961" s="283">
        <v>250</v>
      </c>
      <c r="W1961" s="744"/>
    </row>
    <row r="1962" spans="6:23" ht="24" customHeight="1">
      <c r="K1962" s="748" t="s">
        <v>2055</v>
      </c>
      <c r="W1962" s="744"/>
    </row>
    <row r="1963" spans="6:23" ht="24" customHeight="1">
      <c r="W1963" s="744"/>
    </row>
    <row r="1964" spans="6:23" ht="24" customHeight="1">
      <c r="F1964" s="744" t="s">
        <v>1140</v>
      </c>
      <c r="G1964" s="283" t="s">
        <v>2251</v>
      </c>
      <c r="H1964" s="374" t="s">
        <v>81</v>
      </c>
      <c r="M1964" s="744" t="s">
        <v>1140</v>
      </c>
      <c r="N1964" s="283" t="s">
        <v>2251</v>
      </c>
      <c r="O1964" s="374" t="s">
        <v>81</v>
      </c>
      <c r="Q1964" s="374"/>
      <c r="W1964" s="744"/>
    </row>
    <row r="1965" spans="6:23" ht="24" customHeight="1">
      <c r="H1965" s="374" t="s">
        <v>1102</v>
      </c>
      <c r="O1965" s="374" t="s">
        <v>1102</v>
      </c>
      <c r="Q1965" s="374"/>
      <c r="W1965" s="744"/>
    </row>
    <row r="1966" spans="6:23" ht="24" customHeight="1">
      <c r="H1966" s="374" t="s">
        <v>1103</v>
      </c>
      <c r="O1966" s="374" t="s">
        <v>1103</v>
      </c>
      <c r="Q1966" s="374"/>
      <c r="W1966" s="744"/>
    </row>
    <row r="1967" spans="6:23" ht="24" customHeight="1">
      <c r="H1967" s="374" t="s">
        <v>1104</v>
      </c>
      <c r="O1967" s="374" t="s">
        <v>1104</v>
      </c>
      <c r="Q1967" s="374"/>
      <c r="W1967" s="744"/>
    </row>
    <row r="1968" spans="6:23" ht="24" customHeight="1">
      <c r="H1968" s="748" t="s">
        <v>1586</v>
      </c>
      <c r="O1968" s="748" t="s">
        <v>1586</v>
      </c>
      <c r="Q1968" s="374"/>
      <c r="W1968" s="744"/>
    </row>
    <row r="1969" spans="6:23" ht="24" customHeight="1">
      <c r="F1969" s="283">
        <v>1</v>
      </c>
      <c r="G1969" s="283" t="s">
        <v>868</v>
      </c>
      <c r="H1969" s="374" t="s">
        <v>712</v>
      </c>
      <c r="I1969" s="283">
        <f>(C202)</f>
        <v>1201</v>
      </c>
      <c r="J1969" s="374" t="s">
        <v>868</v>
      </c>
      <c r="K1969" s="283">
        <f t="shared" ref="K1969:K1975" si="235">(F1969*I1969)</f>
        <v>1201</v>
      </c>
      <c r="M1969" s="283">
        <v>1</v>
      </c>
      <c r="N1969" s="283" t="s">
        <v>868</v>
      </c>
      <c r="O1969" s="374" t="s">
        <v>712</v>
      </c>
      <c r="P1969" s="283">
        <f>I1969</f>
        <v>1201</v>
      </c>
      <c r="Q1969" s="374" t="s">
        <v>868</v>
      </c>
      <c r="R1969" s="283">
        <f t="shared" ref="R1969:R1975" si="236">(M1969*P1969)</f>
        <v>1201</v>
      </c>
      <c r="W1969" s="744"/>
    </row>
    <row r="1970" spans="6:23" ht="24" customHeight="1">
      <c r="F1970" s="283">
        <v>0.65</v>
      </c>
      <c r="G1970" s="283" t="s">
        <v>869</v>
      </c>
      <c r="H1970" s="374" t="s">
        <v>250</v>
      </c>
      <c r="I1970" s="283">
        <f>(C62*2)</f>
        <v>224.1</v>
      </c>
      <c r="J1970" s="374" t="s">
        <v>869</v>
      </c>
      <c r="K1970" s="283">
        <f t="shared" si="235"/>
        <v>145.66999999999999</v>
      </c>
      <c r="M1970" s="283">
        <v>0.65</v>
      </c>
      <c r="N1970" s="283" t="s">
        <v>869</v>
      </c>
      <c r="O1970" s="374" t="s">
        <v>250</v>
      </c>
      <c r="P1970" s="283">
        <f t="shared" ref="P1970:P1976" si="237">I1970</f>
        <v>224.1</v>
      </c>
      <c r="Q1970" s="374" t="s">
        <v>869</v>
      </c>
      <c r="R1970" s="283">
        <f t="shared" si="236"/>
        <v>145.66999999999999</v>
      </c>
      <c r="W1970" s="744"/>
    </row>
    <row r="1971" spans="6:23" ht="24" customHeight="1">
      <c r="F1971" s="283">
        <v>0.56999999999999995</v>
      </c>
      <c r="G1971" s="283" t="s">
        <v>869</v>
      </c>
      <c r="H1971" s="374" t="s">
        <v>251</v>
      </c>
      <c r="I1971" s="283">
        <f>(C26)</f>
        <v>38.950000000000003</v>
      </c>
      <c r="J1971" s="374" t="s">
        <v>869</v>
      </c>
      <c r="K1971" s="283">
        <f t="shared" si="235"/>
        <v>22.2</v>
      </c>
      <c r="M1971" s="283">
        <v>0.56999999999999995</v>
      </c>
      <c r="N1971" s="283" t="s">
        <v>869</v>
      </c>
      <c r="O1971" s="374" t="s">
        <v>251</v>
      </c>
      <c r="P1971" s="283">
        <f t="shared" si="237"/>
        <v>38.950000000000003</v>
      </c>
      <c r="Q1971" s="374" t="s">
        <v>869</v>
      </c>
      <c r="R1971" s="283">
        <f t="shared" si="236"/>
        <v>22.2</v>
      </c>
      <c r="W1971" s="744"/>
    </row>
    <row r="1972" spans="6:23" ht="24" customHeight="1">
      <c r="F1972" s="746">
        <v>8.1000000000000003E-2</v>
      </c>
      <c r="G1972" s="283" t="s">
        <v>869</v>
      </c>
      <c r="H1972" s="374" t="s">
        <v>252</v>
      </c>
      <c r="I1972" s="283">
        <f>(R61)</f>
        <v>4278.7700000000004</v>
      </c>
      <c r="J1972" s="374" t="s">
        <v>869</v>
      </c>
      <c r="K1972" s="283">
        <f t="shared" si="235"/>
        <v>346.58</v>
      </c>
      <c r="M1972" s="746">
        <v>8.1000000000000003E-2</v>
      </c>
      <c r="N1972" s="283" t="s">
        <v>869</v>
      </c>
      <c r="O1972" s="374" t="s">
        <v>252</v>
      </c>
      <c r="P1972" s="283">
        <f t="shared" si="237"/>
        <v>4278.7700000000004</v>
      </c>
      <c r="Q1972" s="374" t="s">
        <v>869</v>
      </c>
      <c r="R1972" s="283">
        <f t="shared" si="236"/>
        <v>346.58</v>
      </c>
      <c r="W1972" s="744"/>
    </row>
    <row r="1973" spans="6:23" ht="24" customHeight="1">
      <c r="F1973" s="283">
        <v>1</v>
      </c>
      <c r="G1973" s="283" t="s">
        <v>868</v>
      </c>
      <c r="H1973" s="374" t="s">
        <v>2103</v>
      </c>
      <c r="I1973" s="283">
        <f>(C15)</f>
        <v>866</v>
      </c>
      <c r="J1973" s="374" t="s">
        <v>868</v>
      </c>
      <c r="K1973" s="283">
        <f t="shared" si="235"/>
        <v>866</v>
      </c>
      <c r="M1973" s="283">
        <v>1</v>
      </c>
      <c r="N1973" s="283" t="s">
        <v>868</v>
      </c>
      <c r="O1973" s="374" t="s">
        <v>2103</v>
      </c>
      <c r="P1973" s="283">
        <f t="shared" si="237"/>
        <v>866</v>
      </c>
      <c r="Q1973" s="374" t="s">
        <v>868</v>
      </c>
      <c r="R1973" s="283">
        <f t="shared" si="236"/>
        <v>866</v>
      </c>
      <c r="W1973" s="744"/>
    </row>
    <row r="1974" spans="6:23" ht="24" customHeight="1">
      <c r="F1974" s="283">
        <v>0.5</v>
      </c>
      <c r="G1974" s="283" t="s">
        <v>868</v>
      </c>
      <c r="H1974" s="374" t="s">
        <v>1712</v>
      </c>
      <c r="I1974" s="283">
        <f>(C11)</f>
        <v>932</v>
      </c>
      <c r="J1974" s="374" t="s">
        <v>868</v>
      </c>
      <c r="K1974" s="283">
        <f t="shared" si="235"/>
        <v>466</v>
      </c>
      <c r="M1974" s="283">
        <v>0.5</v>
      </c>
      <c r="N1974" s="283" t="s">
        <v>868</v>
      </c>
      <c r="O1974" s="374" t="s">
        <v>1712</v>
      </c>
      <c r="P1974" s="283">
        <f t="shared" si="237"/>
        <v>932</v>
      </c>
      <c r="Q1974" s="374" t="s">
        <v>868</v>
      </c>
      <c r="R1974" s="283">
        <f t="shared" si="236"/>
        <v>466</v>
      </c>
      <c r="W1974" s="744"/>
    </row>
    <row r="1975" spans="6:23" ht="24" customHeight="1">
      <c r="F1975" s="283">
        <v>0.5</v>
      </c>
      <c r="G1975" s="283" t="s">
        <v>868</v>
      </c>
      <c r="H1975" s="374" t="s">
        <v>1902</v>
      </c>
      <c r="I1975" s="283">
        <f>(C12)</f>
        <v>651</v>
      </c>
      <c r="J1975" s="374" t="s">
        <v>868</v>
      </c>
      <c r="K1975" s="283">
        <f t="shared" si="235"/>
        <v>325.5</v>
      </c>
      <c r="M1975" s="283">
        <v>0.5</v>
      </c>
      <c r="N1975" s="283" t="s">
        <v>868</v>
      </c>
      <c r="O1975" s="374" t="s">
        <v>1902</v>
      </c>
      <c r="P1975" s="283">
        <f t="shared" si="237"/>
        <v>651</v>
      </c>
      <c r="Q1975" s="374" t="s">
        <v>868</v>
      </c>
      <c r="R1975" s="283">
        <f t="shared" si="236"/>
        <v>325.5</v>
      </c>
      <c r="W1975" s="744"/>
    </row>
    <row r="1976" spans="6:23" ht="24" customHeight="1">
      <c r="G1976" s="283" t="s">
        <v>449</v>
      </c>
      <c r="H1976" s="374" t="s">
        <v>450</v>
      </c>
      <c r="I1976" s="374" t="s">
        <v>975</v>
      </c>
      <c r="J1976" s="374" t="s">
        <v>449</v>
      </c>
      <c r="K1976" s="283">
        <v>1.25</v>
      </c>
      <c r="O1976" s="745" t="s">
        <v>4235</v>
      </c>
      <c r="P1976" s="283" t="str">
        <f t="shared" si="237"/>
        <v xml:space="preserve"> </v>
      </c>
      <c r="Q1976" s="374"/>
      <c r="R1976" s="283">
        <v>-164</v>
      </c>
      <c r="W1976" s="744"/>
    </row>
    <row r="1977" spans="6:23" ht="24" customHeight="1">
      <c r="K1977" s="748" t="s">
        <v>1586</v>
      </c>
      <c r="O1977" s="745" t="s">
        <v>4236</v>
      </c>
      <c r="Q1977" s="374"/>
      <c r="R1977" s="283">
        <v>134.1</v>
      </c>
      <c r="W1977" s="744"/>
    </row>
    <row r="1978" spans="6:23" ht="24" customHeight="1" thickBot="1">
      <c r="H1978" s="374" t="s">
        <v>1751</v>
      </c>
      <c r="K1978" s="283">
        <f>SUM(K1969:K1976)</f>
        <v>3374.2</v>
      </c>
      <c r="N1978" s="283" t="s">
        <v>657</v>
      </c>
      <c r="O1978" s="745" t="s">
        <v>2271</v>
      </c>
      <c r="Q1978" s="374"/>
      <c r="R1978" s="283">
        <v>0.32</v>
      </c>
      <c r="W1978" s="744"/>
    </row>
    <row r="1979" spans="6:23" ht="24" customHeight="1" thickTop="1">
      <c r="K1979" s="748" t="s">
        <v>2055</v>
      </c>
      <c r="O1979" s="374" t="s">
        <v>1751</v>
      </c>
      <c r="Q1979" s="374"/>
      <c r="R1979" s="830">
        <f>SUM(R1969:R1978)</f>
        <v>3343.37</v>
      </c>
      <c r="W1979" s="744"/>
    </row>
    <row r="1980" spans="6:23" ht="24" customHeight="1" thickBot="1">
      <c r="G1980" s="283" t="s">
        <v>975</v>
      </c>
      <c r="H1980" s="374" t="s">
        <v>975</v>
      </c>
      <c r="K1980" s="374" t="s">
        <v>975</v>
      </c>
      <c r="Q1980" s="374"/>
      <c r="R1980" s="831"/>
      <c r="W1980" s="744"/>
    </row>
    <row r="1981" spans="6:23" ht="24" customHeight="1" thickTop="1">
      <c r="J1981" s="374" t="s">
        <v>975</v>
      </c>
      <c r="K1981" s="374" t="s">
        <v>975</v>
      </c>
      <c r="W1981" s="744"/>
    </row>
    <row r="1982" spans="6:23" ht="24" customHeight="1">
      <c r="F1982" s="744" t="s">
        <v>253</v>
      </c>
      <c r="G1982" s="283" t="s">
        <v>2251</v>
      </c>
      <c r="H1982" s="374" t="s">
        <v>81</v>
      </c>
      <c r="M1982" s="744" t="s">
        <v>253</v>
      </c>
      <c r="N1982" s="283" t="s">
        <v>2251</v>
      </c>
      <c r="O1982" s="374" t="s">
        <v>81</v>
      </c>
      <c r="Q1982" s="374"/>
      <c r="W1982" s="744"/>
    </row>
    <row r="1983" spans="6:23" ht="24" customHeight="1">
      <c r="H1983" s="374" t="s">
        <v>1102</v>
      </c>
      <c r="O1983" s="374" t="s">
        <v>1102</v>
      </c>
      <c r="Q1983" s="374"/>
      <c r="W1983" s="744"/>
    </row>
    <row r="1984" spans="6:23" ht="24" customHeight="1">
      <c r="H1984" s="374" t="s">
        <v>1103</v>
      </c>
      <c r="O1984" s="374" t="s">
        <v>1103</v>
      </c>
      <c r="Q1984" s="374"/>
      <c r="W1984" s="744"/>
    </row>
    <row r="1985" spans="6:23" ht="24" customHeight="1">
      <c r="H1985" s="374" t="s">
        <v>254</v>
      </c>
      <c r="O1985" s="374" t="s">
        <v>254</v>
      </c>
      <c r="Q1985" s="374"/>
      <c r="W1985" s="744"/>
    </row>
    <row r="1986" spans="6:23" ht="24" customHeight="1">
      <c r="H1986" s="748" t="s">
        <v>1586</v>
      </c>
      <c r="O1986" s="748" t="s">
        <v>1586</v>
      </c>
      <c r="Q1986" s="374"/>
      <c r="W1986" s="744"/>
    </row>
    <row r="1987" spans="6:23" ht="24" customHeight="1">
      <c r="F1987" s="283">
        <v>1</v>
      </c>
      <c r="G1987" s="283" t="s">
        <v>868</v>
      </c>
      <c r="H1987" s="374" t="s">
        <v>712</v>
      </c>
      <c r="I1987" s="283">
        <f>(C202)</f>
        <v>1201</v>
      </c>
      <c r="J1987" s="374" t="s">
        <v>868</v>
      </c>
      <c r="K1987" s="283">
        <f>(F1987*I1987)</f>
        <v>1201</v>
      </c>
      <c r="M1987" s="283">
        <v>1</v>
      </c>
      <c r="N1987" s="283" t="s">
        <v>868</v>
      </c>
      <c r="O1987" s="374" t="s">
        <v>712</v>
      </c>
      <c r="P1987" s="283">
        <f>I1987</f>
        <v>1201</v>
      </c>
      <c r="Q1987" s="374" t="s">
        <v>868</v>
      </c>
      <c r="R1987" s="283">
        <f>(M1987*P1987)</f>
        <v>1201</v>
      </c>
      <c r="W1987" s="744"/>
    </row>
    <row r="1988" spans="6:23" ht="24" customHeight="1">
      <c r="F1988" s="746">
        <v>0.40500000000000003</v>
      </c>
      <c r="G1988" s="283" t="s">
        <v>869</v>
      </c>
      <c r="H1988" s="374" t="s">
        <v>2216</v>
      </c>
      <c r="I1988" s="283">
        <f>('Print Data (2)'!F406)</f>
        <v>3785.37</v>
      </c>
      <c r="J1988" s="374" t="s">
        <v>869</v>
      </c>
      <c r="K1988" s="283">
        <f>(F1988*I1988)</f>
        <v>1533.07</v>
      </c>
      <c r="M1988" s="746">
        <v>0.40500000000000003</v>
      </c>
      <c r="N1988" s="283" t="s">
        <v>869</v>
      </c>
      <c r="O1988" s="374" t="s">
        <v>2216</v>
      </c>
      <c r="P1988" s="283">
        <f t="shared" ref="P1988:P1997" si="238">I1988</f>
        <v>3785.37</v>
      </c>
      <c r="Q1988" s="374" t="s">
        <v>869</v>
      </c>
      <c r="R1988" s="283">
        <f>(M1988*P1988)</f>
        <v>1533.07</v>
      </c>
      <c r="W1988" s="744"/>
    </row>
    <row r="1989" spans="6:23" ht="24" customHeight="1">
      <c r="H1989" s="374" t="s">
        <v>1097</v>
      </c>
      <c r="I1989" s="374" t="s">
        <v>975</v>
      </c>
      <c r="K1989" s="374" t="s">
        <v>975</v>
      </c>
      <c r="O1989" s="374" t="s">
        <v>1097</v>
      </c>
      <c r="P1989" s="283" t="str">
        <f t="shared" si="238"/>
        <v xml:space="preserve"> </v>
      </c>
      <c r="Q1989" s="374"/>
      <c r="R1989" s="374" t="s">
        <v>975</v>
      </c>
      <c r="W1989" s="744"/>
    </row>
    <row r="1990" spans="6:23" ht="24" customHeight="1">
      <c r="F1990" s="283">
        <v>1.89</v>
      </c>
      <c r="G1990" s="283" t="s">
        <v>609</v>
      </c>
      <c r="H1990" s="374" t="s">
        <v>264</v>
      </c>
      <c r="I1990" s="283">
        <f>(K1443)</f>
        <v>281.47000000000003</v>
      </c>
      <c r="J1990" s="374" t="s">
        <v>609</v>
      </c>
      <c r="K1990" s="283">
        <f>(F1990*I1990)</f>
        <v>531.98</v>
      </c>
      <c r="M1990" s="283">
        <v>1.89</v>
      </c>
      <c r="N1990" s="283" t="s">
        <v>609</v>
      </c>
      <c r="O1990" s="374" t="s">
        <v>264</v>
      </c>
      <c r="P1990" s="283">
        <f t="shared" si="238"/>
        <v>281.47000000000003</v>
      </c>
      <c r="Q1990" s="374" t="s">
        <v>609</v>
      </c>
      <c r="R1990" s="283">
        <f>(M1990*P1990)</f>
        <v>531.98</v>
      </c>
      <c r="W1990" s="744"/>
    </row>
    <row r="1991" spans="6:23" ht="24" customHeight="1">
      <c r="H1991" s="374" t="s">
        <v>265</v>
      </c>
      <c r="I1991" s="374" t="s">
        <v>975</v>
      </c>
      <c r="K1991" s="374" t="s">
        <v>975</v>
      </c>
      <c r="O1991" s="374" t="s">
        <v>265</v>
      </c>
      <c r="P1991" s="283" t="str">
        <f t="shared" si="238"/>
        <v xml:space="preserve"> </v>
      </c>
      <c r="Q1991" s="374"/>
      <c r="R1991" s="374" t="s">
        <v>975</v>
      </c>
      <c r="W1991" s="744"/>
    </row>
    <row r="1992" spans="6:23" ht="24" customHeight="1">
      <c r="F1992" s="746">
        <v>8.1000000000000003E-2</v>
      </c>
      <c r="G1992" s="283" t="s">
        <v>869</v>
      </c>
      <c r="H1992" s="374" t="s">
        <v>266</v>
      </c>
      <c r="I1992" s="283">
        <f>(R61)</f>
        <v>4278.7700000000004</v>
      </c>
      <c r="J1992" s="374" t="s">
        <v>869</v>
      </c>
      <c r="K1992" s="283">
        <f>(F1992*I1992)</f>
        <v>346.58</v>
      </c>
      <c r="M1992" s="746">
        <v>8.1000000000000003E-2</v>
      </c>
      <c r="N1992" s="283" t="s">
        <v>869</v>
      </c>
      <c r="O1992" s="374" t="s">
        <v>266</v>
      </c>
      <c r="P1992" s="283">
        <f t="shared" si="238"/>
        <v>4278.7700000000004</v>
      </c>
      <c r="Q1992" s="374" t="s">
        <v>869</v>
      </c>
      <c r="R1992" s="283">
        <f>(M1992*P1992)</f>
        <v>346.58</v>
      </c>
      <c r="W1992" s="744"/>
    </row>
    <row r="1993" spans="6:23" ht="24" customHeight="1">
      <c r="H1993" s="374" t="s">
        <v>267</v>
      </c>
      <c r="O1993" s="374" t="s">
        <v>267</v>
      </c>
      <c r="Q1993" s="374"/>
      <c r="W1993" s="744"/>
    </row>
    <row r="1994" spans="6:23" ht="24" customHeight="1">
      <c r="F1994" s="283">
        <v>1</v>
      </c>
      <c r="G1994" s="283" t="s">
        <v>769</v>
      </c>
      <c r="H1994" s="374" t="s">
        <v>2103</v>
      </c>
      <c r="I1994" s="283">
        <f>(C15)</f>
        <v>866</v>
      </c>
      <c r="J1994" s="374" t="s">
        <v>769</v>
      </c>
      <c r="K1994" s="283">
        <f>(F1994*I1994)</f>
        <v>866</v>
      </c>
      <c r="M1994" s="283">
        <v>1</v>
      </c>
      <c r="N1994" s="283" t="s">
        <v>769</v>
      </c>
      <c r="O1994" s="374" t="s">
        <v>2103</v>
      </c>
      <c r="P1994" s="283">
        <f t="shared" si="238"/>
        <v>866</v>
      </c>
      <c r="Q1994" s="374" t="s">
        <v>769</v>
      </c>
      <c r="R1994" s="283">
        <f>(M1994*P1994)</f>
        <v>866</v>
      </c>
      <c r="W1994" s="744"/>
    </row>
    <row r="1995" spans="6:23" ht="24" customHeight="1">
      <c r="F1995" s="283">
        <v>0.5</v>
      </c>
      <c r="G1995" s="283" t="s">
        <v>868</v>
      </c>
      <c r="H1995" s="374" t="s">
        <v>1712</v>
      </c>
      <c r="I1995" s="283">
        <f>(C11)</f>
        <v>932</v>
      </c>
      <c r="J1995" s="374" t="s">
        <v>868</v>
      </c>
      <c r="K1995" s="283">
        <f>(F1995*I1995)</f>
        <v>466</v>
      </c>
      <c r="M1995" s="283">
        <v>0.5</v>
      </c>
      <c r="N1995" s="283" t="s">
        <v>868</v>
      </c>
      <c r="O1995" s="374" t="s">
        <v>1712</v>
      </c>
      <c r="P1995" s="283">
        <f t="shared" si="238"/>
        <v>932</v>
      </c>
      <c r="Q1995" s="374" t="s">
        <v>868</v>
      </c>
      <c r="R1995" s="283">
        <f>(M1995*P1995)</f>
        <v>466</v>
      </c>
      <c r="W1995" s="744"/>
    </row>
    <row r="1996" spans="6:23" ht="24" customHeight="1">
      <c r="F1996" s="283">
        <v>0.5</v>
      </c>
      <c r="G1996" s="283" t="s">
        <v>868</v>
      </c>
      <c r="H1996" s="374" t="s">
        <v>1902</v>
      </c>
      <c r="I1996" s="283">
        <f>(C12)</f>
        <v>651</v>
      </c>
      <c r="J1996" s="374" t="s">
        <v>868</v>
      </c>
      <c r="K1996" s="283">
        <f>(F1996*I1996)</f>
        <v>325.5</v>
      </c>
      <c r="M1996" s="283">
        <v>0.5</v>
      </c>
      <c r="N1996" s="283" t="s">
        <v>868</v>
      </c>
      <c r="O1996" s="374" t="s">
        <v>1902</v>
      </c>
      <c r="P1996" s="283">
        <f t="shared" si="238"/>
        <v>651</v>
      </c>
      <c r="Q1996" s="374" t="s">
        <v>868</v>
      </c>
      <c r="R1996" s="283">
        <f>(M1996*P1996)</f>
        <v>325.5</v>
      </c>
      <c r="W1996" s="744"/>
    </row>
    <row r="1997" spans="6:23" ht="24" customHeight="1">
      <c r="G1997" s="283" t="s">
        <v>449</v>
      </c>
      <c r="H1997" s="374" t="s">
        <v>450</v>
      </c>
      <c r="I1997" s="374" t="s">
        <v>975</v>
      </c>
      <c r="J1997" s="374" t="s">
        <v>449</v>
      </c>
      <c r="K1997" s="283">
        <v>1.03</v>
      </c>
      <c r="O1997" s="745" t="s">
        <v>4235</v>
      </c>
      <c r="P1997" s="283" t="str">
        <f t="shared" si="238"/>
        <v xml:space="preserve"> </v>
      </c>
      <c r="Q1997" s="374"/>
      <c r="R1997" s="283">
        <v>-164</v>
      </c>
      <c r="W1997" s="744"/>
    </row>
    <row r="1998" spans="6:23" ht="24" customHeight="1">
      <c r="H1998" s="374" t="s">
        <v>975</v>
      </c>
      <c r="K1998" s="748" t="s">
        <v>1586</v>
      </c>
      <c r="O1998" s="745" t="s">
        <v>4236</v>
      </c>
      <c r="Q1998" s="374"/>
      <c r="R1998" s="283">
        <v>134.1</v>
      </c>
      <c r="W1998" s="744"/>
    </row>
    <row r="1999" spans="6:23" ht="24" customHeight="1" thickBot="1">
      <c r="H1999" s="374" t="s">
        <v>1751</v>
      </c>
      <c r="K1999" s="283">
        <f>SUM(K1987:K1997)</f>
        <v>5271.16</v>
      </c>
      <c r="N1999" s="283" t="s">
        <v>657</v>
      </c>
      <c r="O1999" s="745" t="s">
        <v>2271</v>
      </c>
      <c r="Q1999" s="374"/>
      <c r="R1999" s="283">
        <v>0.47</v>
      </c>
      <c r="W1999" s="744"/>
    </row>
    <row r="2000" spans="6:23" ht="24" customHeight="1" thickTop="1">
      <c r="K2000" s="748" t="s">
        <v>2055</v>
      </c>
      <c r="O2000" s="374" t="s">
        <v>1751</v>
      </c>
      <c r="Q2000" s="374"/>
      <c r="R2000" s="830">
        <f>SUM(R1987:R1999)</f>
        <v>5240.7</v>
      </c>
      <c r="W2000" s="744"/>
    </row>
    <row r="2001" spans="6:23" ht="24" customHeight="1" thickBot="1">
      <c r="G2001" s="283" t="s">
        <v>975</v>
      </c>
      <c r="H2001" s="374" t="s">
        <v>975</v>
      </c>
      <c r="K2001" s="374" t="s">
        <v>975</v>
      </c>
      <c r="Q2001" s="374"/>
      <c r="R2001" s="831"/>
      <c r="W2001" s="744"/>
    </row>
    <row r="2002" spans="6:23" ht="24" customHeight="1" thickTop="1">
      <c r="F2002" s="774">
        <v>57</v>
      </c>
      <c r="G2002" s="283" t="s">
        <v>2251</v>
      </c>
      <c r="H2002" s="374" t="s">
        <v>6124</v>
      </c>
      <c r="W2002" s="744"/>
    </row>
    <row r="2003" spans="6:23" ht="24" customHeight="1">
      <c r="H2003" s="374" t="s">
        <v>201</v>
      </c>
      <c r="M2003" s="774">
        <v>57</v>
      </c>
      <c r="N2003" s="283" t="s">
        <v>2251</v>
      </c>
      <c r="O2003" s="374" t="s">
        <v>6124</v>
      </c>
      <c r="Q2003" s="374"/>
      <c r="S2003" s="283"/>
      <c r="W2003" s="744"/>
    </row>
    <row r="2004" spans="6:23" ht="24" customHeight="1">
      <c r="H2004" s="374" t="s">
        <v>1772</v>
      </c>
      <c r="O2004" s="374" t="s">
        <v>201</v>
      </c>
      <c r="Q2004" s="374"/>
      <c r="S2004" s="283"/>
      <c r="W2004" s="744"/>
    </row>
    <row r="2005" spans="6:23" ht="24" customHeight="1">
      <c r="H2005" s="748" t="s">
        <v>1586</v>
      </c>
      <c r="O2005" s="374" t="s">
        <v>1772</v>
      </c>
      <c r="Q2005" s="374"/>
      <c r="S2005" s="283"/>
      <c r="W2005" s="744"/>
    </row>
    <row r="2006" spans="6:23" ht="60.75" customHeight="1">
      <c r="F2006" s="828">
        <v>1</v>
      </c>
      <c r="G2006" s="828" t="s">
        <v>783</v>
      </c>
      <c r="H2006" s="780" t="s">
        <v>4128</v>
      </c>
      <c r="I2006" s="828">
        <f>C614</f>
        <v>3090</v>
      </c>
      <c r="J2006" s="829" t="s">
        <v>783</v>
      </c>
      <c r="K2006" s="828">
        <f>(F2006*I2006)</f>
        <v>3090</v>
      </c>
      <c r="O2006" s="748" t="s">
        <v>1586</v>
      </c>
      <c r="Q2006" s="374"/>
      <c r="S2006" s="283"/>
      <c r="W2006" s="744"/>
    </row>
    <row r="2007" spans="6:23" ht="48.75" customHeight="1">
      <c r="H2007" s="745" t="s">
        <v>1161</v>
      </c>
      <c r="M2007" s="828">
        <v>1</v>
      </c>
      <c r="N2007" s="828" t="s">
        <v>783</v>
      </c>
      <c r="O2007" s="780" t="s">
        <v>1122</v>
      </c>
      <c r="P2007" s="828">
        <f>I2006</f>
        <v>3090</v>
      </c>
      <c r="Q2007" s="829" t="s">
        <v>783</v>
      </c>
      <c r="R2007" s="828">
        <f>(M2007*P2007)</f>
        <v>3090</v>
      </c>
      <c r="S2007" s="283"/>
      <c r="W2007" s="744"/>
    </row>
    <row r="2008" spans="6:23" ht="36" customHeight="1">
      <c r="F2008" s="283">
        <v>1</v>
      </c>
      <c r="G2008" s="283" t="s">
        <v>868</v>
      </c>
      <c r="H2008" s="374" t="s">
        <v>2009</v>
      </c>
      <c r="I2008" s="283">
        <f>(C10)</f>
        <v>999</v>
      </c>
      <c r="J2008" s="374" t="s">
        <v>868</v>
      </c>
      <c r="K2008" s="283">
        <f>(F2008*I2008)</f>
        <v>999</v>
      </c>
      <c r="O2008" s="745" t="s">
        <v>1161</v>
      </c>
      <c r="Q2008" s="374"/>
      <c r="S2008" s="283"/>
      <c r="W2008" s="744"/>
    </row>
    <row r="2009" spans="6:23" ht="24" customHeight="1">
      <c r="F2009" s="283">
        <v>2</v>
      </c>
      <c r="G2009" s="283" t="s">
        <v>868</v>
      </c>
      <c r="H2009" s="374" t="s">
        <v>2103</v>
      </c>
      <c r="I2009" s="283">
        <f>(C15)</f>
        <v>866</v>
      </c>
      <c r="J2009" s="374" t="s">
        <v>868</v>
      </c>
      <c r="K2009" s="283">
        <f>(F2009*I2009)</f>
        <v>1732</v>
      </c>
      <c r="M2009" s="283">
        <v>1</v>
      </c>
      <c r="N2009" s="283" t="s">
        <v>868</v>
      </c>
      <c r="O2009" s="374" t="s">
        <v>2009</v>
      </c>
      <c r="P2009" s="283">
        <f t="shared" ref="P2009:P2014" si="239">I2008</f>
        <v>999</v>
      </c>
      <c r="Q2009" s="374" t="s">
        <v>868</v>
      </c>
      <c r="R2009" s="283">
        <f>(M2009*P2009)</f>
        <v>999</v>
      </c>
      <c r="S2009" s="283"/>
      <c r="W2009" s="744"/>
    </row>
    <row r="2010" spans="6:23" ht="24" customHeight="1">
      <c r="F2010" s="283">
        <v>1</v>
      </c>
      <c r="G2010" s="283" t="s">
        <v>868</v>
      </c>
      <c r="H2010" s="374" t="s">
        <v>320</v>
      </c>
      <c r="I2010" s="283">
        <f>(C13)</f>
        <v>534</v>
      </c>
      <c r="J2010" s="374" t="s">
        <v>868</v>
      </c>
      <c r="K2010" s="283">
        <f>(F2010*I2010)</f>
        <v>534</v>
      </c>
      <c r="M2010" s="283">
        <v>2</v>
      </c>
      <c r="N2010" s="283" t="s">
        <v>868</v>
      </c>
      <c r="O2010" s="374" t="s">
        <v>2103</v>
      </c>
      <c r="P2010" s="283">
        <f t="shared" si="239"/>
        <v>866</v>
      </c>
      <c r="Q2010" s="374" t="s">
        <v>868</v>
      </c>
      <c r="R2010" s="283">
        <f>(M2010*P2010)</f>
        <v>1732</v>
      </c>
      <c r="S2010" s="283"/>
      <c r="W2010" s="744"/>
    </row>
    <row r="2011" spans="6:23" ht="24" customHeight="1">
      <c r="H2011" s="745" t="s">
        <v>713</v>
      </c>
      <c r="M2011" s="283">
        <v>1</v>
      </c>
      <c r="N2011" s="283" t="s">
        <v>868</v>
      </c>
      <c r="O2011" s="374" t="s">
        <v>320</v>
      </c>
      <c r="P2011" s="283">
        <f t="shared" si="239"/>
        <v>534</v>
      </c>
      <c r="Q2011" s="374" t="s">
        <v>868</v>
      </c>
      <c r="R2011" s="283">
        <f>(M2011*P2011)</f>
        <v>534</v>
      </c>
      <c r="S2011" s="283"/>
      <c r="W2011" s="744"/>
    </row>
    <row r="2012" spans="6:23" ht="24" customHeight="1">
      <c r="F2012" s="283">
        <v>0.5</v>
      </c>
      <c r="G2012" s="283" t="s">
        <v>868</v>
      </c>
      <c r="H2012" s="374" t="s">
        <v>2103</v>
      </c>
      <c r="I2012" s="283">
        <f>(C15)</f>
        <v>866</v>
      </c>
      <c r="J2012" s="374" t="s">
        <v>868</v>
      </c>
      <c r="K2012" s="283">
        <f>(F2012*I2012)</f>
        <v>433</v>
      </c>
      <c r="O2012" s="745" t="s">
        <v>713</v>
      </c>
      <c r="Q2012" s="374"/>
      <c r="S2012" s="283"/>
      <c r="W2012" s="744"/>
    </row>
    <row r="2013" spans="6:23" ht="24" customHeight="1">
      <c r="F2013" s="283">
        <v>0.5</v>
      </c>
      <c r="G2013" s="283" t="s">
        <v>868</v>
      </c>
      <c r="H2013" s="374" t="s">
        <v>1902</v>
      </c>
      <c r="I2013" s="283">
        <f>(C12)</f>
        <v>651</v>
      </c>
      <c r="J2013" s="374" t="s">
        <v>868</v>
      </c>
      <c r="K2013" s="283">
        <f>(F2013*I2013)</f>
        <v>325.5</v>
      </c>
      <c r="M2013" s="283">
        <v>0.5</v>
      </c>
      <c r="N2013" s="283" t="s">
        <v>868</v>
      </c>
      <c r="O2013" s="374" t="s">
        <v>2103</v>
      </c>
      <c r="P2013" s="283">
        <f t="shared" si="239"/>
        <v>866</v>
      </c>
      <c r="Q2013" s="374" t="s">
        <v>868</v>
      </c>
      <c r="R2013" s="283">
        <f>(M2013*P2013)</f>
        <v>433</v>
      </c>
      <c r="S2013" s="283"/>
      <c r="W2013" s="744"/>
    </row>
    <row r="2014" spans="6:23" ht="24" customHeight="1">
      <c r="G2014" s="283" t="s">
        <v>449</v>
      </c>
      <c r="H2014" s="374" t="s">
        <v>450</v>
      </c>
      <c r="J2014" s="374" t="s">
        <v>449</v>
      </c>
      <c r="K2014" s="283">
        <v>0.7</v>
      </c>
      <c r="M2014" s="283">
        <v>0.5</v>
      </c>
      <c r="N2014" s="283" t="s">
        <v>868</v>
      </c>
      <c r="O2014" s="374" t="s">
        <v>1902</v>
      </c>
      <c r="P2014" s="283">
        <f t="shared" si="239"/>
        <v>651</v>
      </c>
      <c r="Q2014" s="374" t="s">
        <v>868</v>
      </c>
      <c r="R2014" s="283">
        <f>(M2014*P2014)</f>
        <v>325.5</v>
      </c>
      <c r="S2014" s="283"/>
      <c r="W2014" s="744"/>
    </row>
    <row r="2015" spans="6:23" ht="24" customHeight="1">
      <c r="K2015" s="748" t="s">
        <v>1586</v>
      </c>
      <c r="O2015" s="745" t="s">
        <v>4235</v>
      </c>
      <c r="P2015" s="283">
        <f>I2015</f>
        <v>0</v>
      </c>
      <c r="Q2015" s="374"/>
      <c r="R2015" s="283">
        <v>-164</v>
      </c>
      <c r="S2015" s="283"/>
      <c r="W2015" s="744"/>
    </row>
    <row r="2016" spans="6:23" ht="24" customHeight="1">
      <c r="H2016" s="374" t="s">
        <v>1751</v>
      </c>
      <c r="K2016" s="283">
        <f>SUM(K2006:K2014)</f>
        <v>7114.2</v>
      </c>
      <c r="O2016" s="745" t="s">
        <v>4236</v>
      </c>
      <c r="Q2016" s="374"/>
      <c r="R2016" s="283">
        <v>134.1</v>
      </c>
      <c r="S2016" s="283"/>
      <c r="W2016" s="744"/>
    </row>
    <row r="2017" spans="6:23" ht="24" customHeight="1">
      <c r="F2017" s="374" t="s">
        <v>975</v>
      </c>
      <c r="N2017" s="283" t="s">
        <v>449</v>
      </c>
      <c r="O2017" s="374" t="s">
        <v>450</v>
      </c>
      <c r="Q2017" s="374" t="s">
        <v>449</v>
      </c>
      <c r="R2017" s="283">
        <v>0.7</v>
      </c>
      <c r="S2017" s="283"/>
      <c r="W2017" s="744"/>
    </row>
    <row r="2018" spans="6:23" ht="24" customHeight="1">
      <c r="K2018" s="748" t="s">
        <v>1586</v>
      </c>
      <c r="O2018" s="374" t="s">
        <v>1751</v>
      </c>
      <c r="Q2018" s="374"/>
      <c r="S2018" s="283"/>
      <c r="W2018" s="744"/>
    </row>
    <row r="2019" spans="6:23" ht="24" customHeight="1">
      <c r="G2019" s="283" t="s">
        <v>975</v>
      </c>
      <c r="H2019" s="374" t="s">
        <v>975</v>
      </c>
      <c r="K2019" s="374" t="s">
        <v>975</v>
      </c>
      <c r="Q2019" s="374"/>
      <c r="R2019" s="751">
        <f>SUM(R2007:R2018)</f>
        <v>7084.3</v>
      </c>
      <c r="S2019" s="283"/>
      <c r="W2019" s="744"/>
    </row>
    <row r="2020" spans="6:23" ht="24" customHeight="1">
      <c r="H2020" s="374" t="s">
        <v>975</v>
      </c>
      <c r="M2020" s="374" t="s">
        <v>975</v>
      </c>
      <c r="S2020" s="283"/>
      <c r="W2020" s="744"/>
    </row>
    <row r="2021" spans="6:23" ht="24" customHeight="1">
      <c r="F2021" s="765">
        <v>57.1</v>
      </c>
      <c r="G2021" s="283" t="s">
        <v>2251</v>
      </c>
      <c r="H2021" s="374" t="s">
        <v>6125</v>
      </c>
      <c r="M2021" s="774">
        <v>57</v>
      </c>
      <c r="N2021" s="283" t="s">
        <v>2251</v>
      </c>
      <c r="O2021" s="374" t="s">
        <v>6125</v>
      </c>
      <c r="Q2021" s="374"/>
      <c r="S2021" s="283"/>
      <c r="W2021" s="744"/>
    </row>
    <row r="2022" spans="6:23" ht="24" customHeight="1">
      <c r="H2022" s="374" t="s">
        <v>201</v>
      </c>
      <c r="O2022" s="374" t="s">
        <v>201</v>
      </c>
      <c r="Q2022" s="374"/>
      <c r="W2022" s="744"/>
    </row>
    <row r="2023" spans="6:23" ht="24" customHeight="1">
      <c r="H2023" s="374" t="s">
        <v>1772</v>
      </c>
      <c r="O2023" s="374" t="s">
        <v>1772</v>
      </c>
      <c r="Q2023" s="374"/>
      <c r="W2023" s="744"/>
    </row>
    <row r="2024" spans="6:23" ht="24" customHeight="1">
      <c r="H2024" s="748" t="s">
        <v>1586</v>
      </c>
      <c r="O2024" s="748" t="s">
        <v>1586</v>
      </c>
      <c r="Q2024" s="374"/>
      <c r="W2024" s="744"/>
    </row>
    <row r="2025" spans="6:23" ht="62.25" customHeight="1">
      <c r="F2025" s="828">
        <v>1</v>
      </c>
      <c r="G2025" s="828" t="s">
        <v>783</v>
      </c>
      <c r="H2025" s="777" t="s">
        <v>1122</v>
      </c>
      <c r="I2025" s="283">
        <f>E614</f>
        <v>3484</v>
      </c>
      <c r="J2025" s="829" t="s">
        <v>783</v>
      </c>
      <c r="K2025" s="828">
        <f>(F2025*I2025)</f>
        <v>3484</v>
      </c>
      <c r="M2025" s="828">
        <v>1</v>
      </c>
      <c r="N2025" s="828" t="s">
        <v>783</v>
      </c>
      <c r="O2025" s="780" t="s">
        <v>1122</v>
      </c>
      <c r="P2025" s="828">
        <f>I2025</f>
        <v>3484</v>
      </c>
      <c r="Q2025" s="829" t="s">
        <v>783</v>
      </c>
      <c r="R2025" s="828">
        <f>(M2025*P2025)</f>
        <v>3484</v>
      </c>
      <c r="W2025" s="744"/>
    </row>
    <row r="2026" spans="6:23" ht="54.75" customHeight="1">
      <c r="H2026" s="745" t="s">
        <v>1161</v>
      </c>
      <c r="O2026" s="745" t="s">
        <v>1161</v>
      </c>
      <c r="Q2026" s="374"/>
      <c r="R2026" s="828"/>
      <c r="W2026" s="744"/>
    </row>
    <row r="2027" spans="6:23" ht="24" customHeight="1">
      <c r="F2027" s="283">
        <v>1</v>
      </c>
      <c r="G2027" s="283" t="s">
        <v>868</v>
      </c>
      <c r="H2027" s="374" t="s">
        <v>2009</v>
      </c>
      <c r="I2027" s="283">
        <f>C10</f>
        <v>999</v>
      </c>
      <c r="J2027" s="374" t="s">
        <v>868</v>
      </c>
      <c r="K2027" s="283">
        <f>(F2027*I2027)</f>
        <v>999</v>
      </c>
      <c r="M2027" s="283">
        <v>1</v>
      </c>
      <c r="N2027" s="283" t="s">
        <v>868</v>
      </c>
      <c r="O2027" s="374" t="s">
        <v>2009</v>
      </c>
      <c r="P2027" s="283">
        <f>I2027</f>
        <v>999</v>
      </c>
      <c r="Q2027" s="374" t="s">
        <v>868</v>
      </c>
      <c r="R2027" s="828">
        <f>(M2027*P2027)</f>
        <v>999</v>
      </c>
      <c r="W2027" s="744"/>
    </row>
    <row r="2028" spans="6:23" ht="24" customHeight="1">
      <c r="F2028" s="283">
        <v>2</v>
      </c>
      <c r="G2028" s="283" t="s">
        <v>868</v>
      </c>
      <c r="H2028" s="374" t="s">
        <v>2103</v>
      </c>
      <c r="I2028" s="283">
        <f>C15</f>
        <v>866</v>
      </c>
      <c r="J2028" s="374" t="s">
        <v>868</v>
      </c>
      <c r="K2028" s="283">
        <f>(F2028*I2028)</f>
        <v>1732</v>
      </c>
      <c r="M2028" s="283">
        <v>2</v>
      </c>
      <c r="N2028" s="283" t="s">
        <v>868</v>
      </c>
      <c r="O2028" s="374" t="s">
        <v>2103</v>
      </c>
      <c r="P2028" s="283">
        <f>I2028</f>
        <v>866</v>
      </c>
      <c r="Q2028" s="374" t="s">
        <v>868</v>
      </c>
      <c r="R2028" s="828">
        <f>(M2028*P2028)</f>
        <v>1732</v>
      </c>
      <c r="W2028" s="744"/>
    </row>
    <row r="2029" spans="6:23" ht="24" customHeight="1">
      <c r="F2029" s="283">
        <v>1</v>
      </c>
      <c r="G2029" s="283" t="s">
        <v>868</v>
      </c>
      <c r="H2029" s="374" t="s">
        <v>320</v>
      </c>
      <c r="I2029" s="283">
        <f>C13</f>
        <v>534</v>
      </c>
      <c r="J2029" s="374" t="s">
        <v>868</v>
      </c>
      <c r="K2029" s="283">
        <f>(F2029*I2029)</f>
        <v>534</v>
      </c>
      <c r="M2029" s="283">
        <v>1</v>
      </c>
      <c r="N2029" s="283" t="s">
        <v>868</v>
      </c>
      <c r="O2029" s="374" t="s">
        <v>320</v>
      </c>
      <c r="P2029" s="283">
        <f>I2029</f>
        <v>534</v>
      </c>
      <c r="Q2029" s="374" t="s">
        <v>868</v>
      </c>
      <c r="R2029" s="828">
        <f>(M2029*P2029)</f>
        <v>534</v>
      </c>
      <c r="W2029" s="744"/>
    </row>
    <row r="2030" spans="6:23" ht="24" customHeight="1">
      <c r="H2030" s="745" t="s">
        <v>713</v>
      </c>
      <c r="O2030" s="745" t="s">
        <v>713</v>
      </c>
      <c r="Q2030" s="374"/>
      <c r="W2030" s="744"/>
    </row>
    <row r="2031" spans="6:23" ht="24" customHeight="1">
      <c r="F2031" s="283">
        <v>0.5</v>
      </c>
      <c r="G2031" s="283" t="s">
        <v>868</v>
      </c>
      <c r="H2031" s="374" t="s">
        <v>2103</v>
      </c>
      <c r="I2031" s="283">
        <f>C15</f>
        <v>866</v>
      </c>
      <c r="J2031" s="374" t="s">
        <v>868</v>
      </c>
      <c r="K2031" s="283">
        <f>(F2031*I2031)</f>
        <v>433</v>
      </c>
      <c r="M2031" s="283">
        <v>0.5</v>
      </c>
      <c r="N2031" s="283" t="s">
        <v>868</v>
      </c>
      <c r="O2031" s="374" t="s">
        <v>2103</v>
      </c>
      <c r="P2031" s="283">
        <f>I2031</f>
        <v>866</v>
      </c>
      <c r="Q2031" s="374" t="s">
        <v>868</v>
      </c>
      <c r="R2031" s="283">
        <f>(M2031*P2031)</f>
        <v>433</v>
      </c>
      <c r="W2031" s="744"/>
    </row>
    <row r="2032" spans="6:23" ht="24" customHeight="1">
      <c r="F2032" s="283">
        <v>0.5</v>
      </c>
      <c r="G2032" s="283" t="s">
        <v>868</v>
      </c>
      <c r="H2032" s="374" t="s">
        <v>1902</v>
      </c>
      <c r="I2032" s="283">
        <f>C12</f>
        <v>651</v>
      </c>
      <c r="J2032" s="374" t="s">
        <v>868</v>
      </c>
      <c r="K2032" s="283">
        <f>(F2032*I2032)</f>
        <v>325.5</v>
      </c>
      <c r="M2032" s="283">
        <v>0.5</v>
      </c>
      <c r="N2032" s="283" t="s">
        <v>868</v>
      </c>
      <c r="O2032" s="374" t="s">
        <v>1902</v>
      </c>
      <c r="P2032" s="283">
        <f>I2032</f>
        <v>651</v>
      </c>
      <c r="Q2032" s="374" t="s">
        <v>868</v>
      </c>
      <c r="R2032" s="283">
        <f>(M2032*P2032)</f>
        <v>325.5</v>
      </c>
      <c r="W2032" s="744"/>
    </row>
    <row r="2033" spans="6:23" ht="24" customHeight="1">
      <c r="G2033" s="283" t="s">
        <v>449</v>
      </c>
      <c r="H2033" s="374" t="s">
        <v>450</v>
      </c>
      <c r="J2033" s="374" t="s">
        <v>449</v>
      </c>
      <c r="K2033" s="283">
        <v>0.7</v>
      </c>
      <c r="O2033" s="745" t="s">
        <v>4235</v>
      </c>
      <c r="P2033" s="283">
        <f>I2033</f>
        <v>0</v>
      </c>
      <c r="Q2033" s="374"/>
      <c r="R2033" s="283">
        <v>-164</v>
      </c>
      <c r="W2033" s="744"/>
    </row>
    <row r="2034" spans="6:23" ht="24" customHeight="1">
      <c r="K2034" s="748" t="s">
        <v>1586</v>
      </c>
      <c r="O2034" s="745" t="s">
        <v>4236</v>
      </c>
      <c r="Q2034" s="374"/>
      <c r="R2034" s="283">
        <v>134.1</v>
      </c>
      <c r="W2034" s="744"/>
    </row>
    <row r="2035" spans="6:23" ht="24" customHeight="1">
      <c r="H2035" s="374" t="s">
        <v>1751</v>
      </c>
      <c r="K2035" s="283">
        <f>SUM(K2025:K2033)</f>
        <v>7508.2</v>
      </c>
      <c r="N2035" s="283" t="s">
        <v>449</v>
      </c>
      <c r="O2035" s="374" t="s">
        <v>450</v>
      </c>
      <c r="Q2035" s="374" t="s">
        <v>449</v>
      </c>
      <c r="R2035" s="283">
        <v>0.7</v>
      </c>
      <c r="W2035" s="744"/>
    </row>
    <row r="2036" spans="6:23" ht="24" customHeight="1">
      <c r="H2036" s="374"/>
      <c r="Q2036" s="374"/>
      <c r="R2036" s="748" t="s">
        <v>1586</v>
      </c>
      <c r="W2036" s="744"/>
    </row>
    <row r="2037" spans="6:23" ht="24" customHeight="1">
      <c r="H2037" s="374"/>
      <c r="K2037" s="748" t="s">
        <v>1586</v>
      </c>
      <c r="O2037" s="374" t="s">
        <v>1751</v>
      </c>
      <c r="Q2037" s="374"/>
      <c r="W2037" s="744"/>
    </row>
    <row r="2038" spans="6:23" ht="24" customHeight="1">
      <c r="H2038" s="374"/>
      <c r="M2038" s="374" t="s">
        <v>975</v>
      </c>
      <c r="Q2038" s="374"/>
      <c r="R2038" s="751">
        <f>SUM(R2025:R2037)</f>
        <v>7478.3</v>
      </c>
      <c r="W2038" s="744"/>
    </row>
    <row r="2039" spans="6:23" ht="24" customHeight="1">
      <c r="F2039" s="744" t="s">
        <v>714</v>
      </c>
      <c r="G2039" s="283" t="s">
        <v>2251</v>
      </c>
      <c r="H2039" s="374" t="s">
        <v>808</v>
      </c>
      <c r="Q2039" s="374"/>
      <c r="R2039" s="748" t="s">
        <v>1586</v>
      </c>
      <c r="W2039" s="744"/>
    </row>
    <row r="2040" spans="6:23" ht="24" customHeight="1">
      <c r="H2040" s="374" t="s">
        <v>160</v>
      </c>
      <c r="W2040" s="744"/>
    </row>
    <row r="2041" spans="6:23" ht="24" customHeight="1">
      <c r="H2041" s="748" t="s">
        <v>1586</v>
      </c>
      <c r="W2041" s="744"/>
    </row>
    <row r="2042" spans="6:23" ht="24" customHeight="1">
      <c r="G2042" s="283" t="s">
        <v>689</v>
      </c>
      <c r="H2042" s="374" t="s">
        <v>40</v>
      </c>
      <c r="W2042" s="744"/>
    </row>
    <row r="2043" spans="6:23" ht="24" customHeight="1">
      <c r="H2043" s="374" t="s">
        <v>6126</v>
      </c>
      <c r="W2043" s="744"/>
    </row>
    <row r="2044" spans="6:23" ht="24" customHeight="1">
      <c r="H2044" s="374" t="s">
        <v>946</v>
      </c>
      <c r="M2044" s="832"/>
      <c r="N2044" s="754"/>
      <c r="O2044" s="752" t="s">
        <v>1999</v>
      </c>
      <c r="P2044" s="754"/>
      <c r="Q2044" s="752"/>
      <c r="R2044" s="754"/>
      <c r="W2044" s="744"/>
    </row>
    <row r="2045" spans="6:23" ht="24" customHeight="1">
      <c r="H2045" s="374" t="s">
        <v>947</v>
      </c>
      <c r="M2045" s="832"/>
      <c r="N2045" s="754"/>
      <c r="O2045" s="752" t="s">
        <v>5160</v>
      </c>
      <c r="P2045" s="754"/>
      <c r="Q2045" s="752"/>
      <c r="R2045" s="754"/>
      <c r="W2045" s="744"/>
    </row>
    <row r="2046" spans="6:23" ht="24" customHeight="1">
      <c r="H2046" s="374" t="s">
        <v>2104</v>
      </c>
      <c r="M2046" s="754"/>
      <c r="N2046" s="754"/>
      <c r="O2046" s="758" t="s">
        <v>1586</v>
      </c>
      <c r="P2046" s="758" t="s">
        <v>1586</v>
      </c>
      <c r="Q2046" s="752" t="s">
        <v>1586</v>
      </c>
      <c r="R2046" s="754"/>
      <c r="W2046" s="744"/>
    </row>
    <row r="2047" spans="6:23" ht="24" customHeight="1">
      <c r="H2047" s="374" t="s">
        <v>2105</v>
      </c>
      <c r="M2047" s="754"/>
      <c r="N2047" s="754"/>
      <c r="O2047" s="754"/>
      <c r="P2047" s="754"/>
      <c r="Q2047" s="752"/>
      <c r="R2047" s="754"/>
      <c r="W2047" s="744"/>
    </row>
    <row r="2048" spans="6:23" ht="24" customHeight="1">
      <c r="H2048" s="374" t="s">
        <v>199</v>
      </c>
      <c r="M2048" s="754"/>
      <c r="N2048" s="754"/>
      <c r="O2048" s="833" t="s">
        <v>5161</v>
      </c>
      <c r="P2048" s="754">
        <f>3.93*2.1</f>
        <v>8.25</v>
      </c>
      <c r="Q2048" s="752" t="s">
        <v>2151</v>
      </c>
      <c r="R2048" s="754"/>
      <c r="W2048" s="744"/>
    </row>
    <row r="2049" spans="6:23" ht="24" customHeight="1">
      <c r="H2049" s="748" t="s">
        <v>1586</v>
      </c>
      <c r="M2049" s="754"/>
      <c r="N2049" s="754"/>
      <c r="O2049" s="752" t="s">
        <v>5162</v>
      </c>
      <c r="P2049" s="754"/>
      <c r="Q2049" s="752"/>
      <c r="R2049" s="754"/>
      <c r="W2049" s="744"/>
    </row>
    <row r="2050" spans="6:23" ht="24" customHeight="1">
      <c r="F2050" s="283">
        <v>3</v>
      </c>
      <c r="G2050" s="283" t="s">
        <v>1771</v>
      </c>
      <c r="H2050" s="374" t="s">
        <v>2106</v>
      </c>
      <c r="I2050" s="283">
        <f>(C621)</f>
        <v>193.05</v>
      </c>
      <c r="J2050" s="374" t="s">
        <v>1771</v>
      </c>
      <c r="K2050" s="283">
        <f t="shared" ref="K2050:K2056" si="240">(F2050*I2050)</f>
        <v>579.15</v>
      </c>
      <c r="M2050" s="754"/>
      <c r="N2050" s="754"/>
      <c r="O2050" s="752" t="s">
        <v>5163</v>
      </c>
      <c r="P2050" s="834">
        <f>1*7*2.1*0.075*0.0375</f>
        <v>4.1000000000000002E-2</v>
      </c>
      <c r="Q2050" s="752"/>
      <c r="R2050" s="754"/>
      <c r="W2050" s="744"/>
    </row>
    <row r="2051" spans="6:23" ht="24" customHeight="1">
      <c r="F2051" s="283">
        <v>1</v>
      </c>
      <c r="G2051" s="283" t="s">
        <v>769</v>
      </c>
      <c r="H2051" s="374" t="s">
        <v>670</v>
      </c>
      <c r="I2051" s="283">
        <v>76</v>
      </c>
      <c r="J2051" s="374" t="s">
        <v>1716</v>
      </c>
      <c r="K2051" s="283">
        <f t="shared" si="240"/>
        <v>76</v>
      </c>
      <c r="M2051" s="754"/>
      <c r="N2051" s="754"/>
      <c r="O2051" s="752" t="s">
        <v>5164</v>
      </c>
      <c r="P2051" s="834">
        <f>5*3.93*0.075*0.0375</f>
        <v>5.5E-2</v>
      </c>
      <c r="Q2051" s="752"/>
      <c r="R2051" s="754"/>
      <c r="W2051" s="744"/>
    </row>
    <row r="2052" spans="6:23" ht="24" customHeight="1">
      <c r="F2052" s="283">
        <v>1</v>
      </c>
      <c r="G2052" s="283" t="s">
        <v>769</v>
      </c>
      <c r="H2052" s="374" t="s">
        <v>671</v>
      </c>
      <c r="I2052" s="283">
        <f>C649</f>
        <v>82.3</v>
      </c>
      <c r="J2052" s="374" t="s">
        <v>1716</v>
      </c>
      <c r="K2052" s="283">
        <f t="shared" si="240"/>
        <v>82.3</v>
      </c>
      <c r="M2052" s="754"/>
      <c r="N2052" s="754"/>
      <c r="O2052" s="752"/>
      <c r="P2052" s="835">
        <f>SUM(P2050:P2051)</f>
        <v>9.6000000000000002E-2</v>
      </c>
      <c r="Q2052" s="752" t="s">
        <v>2151</v>
      </c>
      <c r="R2052" s="754"/>
      <c r="W2052" s="744"/>
    </row>
    <row r="2053" spans="6:23" ht="24" customHeight="1">
      <c r="F2053" s="283">
        <v>1</v>
      </c>
      <c r="G2053" s="283" t="s">
        <v>769</v>
      </c>
      <c r="H2053" s="374" t="s">
        <v>4129</v>
      </c>
      <c r="I2053" s="283">
        <f>C646</f>
        <v>187.8</v>
      </c>
      <c r="J2053" s="374" t="s">
        <v>1716</v>
      </c>
      <c r="K2053" s="283">
        <f t="shared" si="240"/>
        <v>187.8</v>
      </c>
      <c r="M2053" s="754"/>
      <c r="N2053" s="754"/>
      <c r="O2053" s="752" t="s">
        <v>5165</v>
      </c>
      <c r="P2053" s="754"/>
      <c r="Q2053" s="752"/>
      <c r="R2053" s="754"/>
      <c r="W2053" s="744"/>
    </row>
    <row r="2054" spans="6:23" ht="24" customHeight="1">
      <c r="F2054" s="283">
        <v>0.5</v>
      </c>
      <c r="G2054" s="283" t="s">
        <v>868</v>
      </c>
      <c r="H2054" s="374" t="s">
        <v>2103</v>
      </c>
      <c r="I2054" s="283">
        <f>(C15)</f>
        <v>866</v>
      </c>
      <c r="J2054" s="374" t="s">
        <v>1716</v>
      </c>
      <c r="K2054" s="283">
        <f t="shared" si="240"/>
        <v>433</v>
      </c>
      <c r="M2054" s="754"/>
      <c r="N2054" s="754"/>
      <c r="O2054" s="752" t="s">
        <v>5166</v>
      </c>
      <c r="P2054" s="754"/>
      <c r="Q2054" s="752"/>
      <c r="R2054" s="754"/>
      <c r="W2054" s="744"/>
    </row>
    <row r="2055" spans="6:23" ht="24" customHeight="1">
      <c r="F2055" s="283">
        <v>0.5</v>
      </c>
      <c r="G2055" s="283" t="s">
        <v>868</v>
      </c>
      <c r="H2055" s="374" t="s">
        <v>1712</v>
      </c>
      <c r="I2055" s="283">
        <f>(C11)</f>
        <v>932</v>
      </c>
      <c r="J2055" s="374" t="s">
        <v>1716</v>
      </c>
      <c r="K2055" s="283">
        <f t="shared" si="240"/>
        <v>466</v>
      </c>
      <c r="M2055" s="754"/>
      <c r="N2055" s="754"/>
      <c r="O2055" s="752" t="s">
        <v>5167</v>
      </c>
      <c r="P2055" s="834">
        <f>2*18*0.6*0.075*0.0375</f>
        <v>6.0999999999999999E-2</v>
      </c>
      <c r="Q2055" s="752"/>
      <c r="R2055" s="754"/>
      <c r="W2055" s="744"/>
    </row>
    <row r="2056" spans="6:23" ht="24" customHeight="1">
      <c r="F2056" s="283">
        <v>0.5</v>
      </c>
      <c r="G2056" s="283" t="s">
        <v>868</v>
      </c>
      <c r="H2056" s="374" t="s">
        <v>1902</v>
      </c>
      <c r="I2056" s="283">
        <f>(C12)</f>
        <v>651</v>
      </c>
      <c r="J2056" s="374" t="s">
        <v>1716</v>
      </c>
      <c r="K2056" s="283">
        <f t="shared" si="240"/>
        <v>325.5</v>
      </c>
      <c r="M2056" s="754"/>
      <c r="N2056" s="754"/>
      <c r="O2056" s="752" t="s">
        <v>5168</v>
      </c>
      <c r="P2056" s="834">
        <f>2*18*0.69*0.075*0.0375</f>
        <v>7.0000000000000007E-2</v>
      </c>
      <c r="Q2056" s="752"/>
      <c r="R2056" s="754"/>
      <c r="W2056" s="744"/>
    </row>
    <row r="2057" spans="6:23" ht="24" customHeight="1">
      <c r="G2057" s="283" t="s">
        <v>449</v>
      </c>
      <c r="H2057" s="374" t="s">
        <v>1523</v>
      </c>
      <c r="I2057" s="283">
        <v>2.79</v>
      </c>
      <c r="J2057" s="374" t="s">
        <v>449</v>
      </c>
      <c r="K2057" s="283">
        <v>2.79</v>
      </c>
      <c r="M2057" s="754"/>
      <c r="N2057" s="754"/>
      <c r="O2057" s="752"/>
      <c r="P2057" s="835">
        <f>SUM(P2055:P2056)</f>
        <v>0.13100000000000001</v>
      </c>
      <c r="Q2057" s="752"/>
      <c r="R2057" s="754"/>
      <c r="W2057" s="744"/>
    </row>
    <row r="2058" spans="6:23" ht="24" customHeight="1">
      <c r="H2058" s="374" t="s">
        <v>83</v>
      </c>
      <c r="M2058" s="754"/>
      <c r="N2058" s="754"/>
      <c r="O2058" s="752" t="s">
        <v>5169</v>
      </c>
      <c r="P2058" s="754"/>
      <c r="Q2058" s="752"/>
      <c r="R2058" s="754"/>
      <c r="W2058" s="744"/>
    </row>
    <row r="2059" spans="6:23" ht="24" customHeight="1">
      <c r="H2059" s="374" t="s">
        <v>190</v>
      </c>
      <c r="M2059" s="754"/>
      <c r="N2059" s="754"/>
      <c r="O2059" s="752" t="s">
        <v>5170</v>
      </c>
      <c r="P2059" s="834">
        <f>2*6*0.66*0.075*0.0375</f>
        <v>2.1999999999999999E-2</v>
      </c>
      <c r="Q2059" s="752"/>
      <c r="R2059" s="754"/>
      <c r="W2059" s="744"/>
    </row>
    <row r="2060" spans="6:23" ht="24" customHeight="1">
      <c r="H2060" s="374" t="s">
        <v>734</v>
      </c>
      <c r="J2060" s="374" t="s">
        <v>449</v>
      </c>
      <c r="K2060" s="283">
        <v>0.12</v>
      </c>
      <c r="M2060" s="754"/>
      <c r="N2060" s="754"/>
      <c r="O2060" s="752" t="s">
        <v>5171</v>
      </c>
      <c r="P2060" s="834">
        <f>2*6*0.69*0.075*0.0375</f>
        <v>2.3E-2</v>
      </c>
      <c r="Q2060" s="752"/>
      <c r="R2060" s="754"/>
      <c r="W2060" s="744"/>
    </row>
    <row r="2061" spans="6:23" ht="24" customHeight="1">
      <c r="K2061" s="748" t="s">
        <v>1586</v>
      </c>
      <c r="M2061" s="754"/>
      <c r="N2061" s="754"/>
      <c r="O2061" s="752"/>
      <c r="P2061" s="835">
        <f>SUM(P2059:P2060)</f>
        <v>4.4999999999999998E-2</v>
      </c>
      <c r="Q2061" s="752"/>
      <c r="R2061" s="754"/>
      <c r="W2061" s="744"/>
    </row>
    <row r="2062" spans="6:23" ht="24" customHeight="1">
      <c r="H2062" s="374" t="s">
        <v>1317</v>
      </c>
      <c r="K2062" s="283">
        <f>SUM(K2050:K2060)</f>
        <v>2152.66</v>
      </c>
      <c r="M2062" s="754"/>
      <c r="N2062" s="754"/>
      <c r="O2062" s="752"/>
      <c r="P2062" s="835">
        <f>P2057+P2061</f>
        <v>0.17599999999999999</v>
      </c>
      <c r="Q2062" s="752" t="s">
        <v>2151</v>
      </c>
      <c r="R2062" s="834">
        <f>P2062+P2052</f>
        <v>0.27200000000000002</v>
      </c>
      <c r="W2062" s="744"/>
    </row>
    <row r="2063" spans="6:23" ht="24" customHeight="1">
      <c r="K2063" s="748" t="s">
        <v>1586</v>
      </c>
      <c r="M2063" s="754"/>
      <c r="N2063" s="754"/>
      <c r="O2063" s="752" t="s">
        <v>5172</v>
      </c>
      <c r="P2063" s="754"/>
      <c r="Q2063" s="752"/>
      <c r="R2063" s="754"/>
      <c r="W2063" s="744"/>
    </row>
    <row r="2064" spans="6:23" ht="24" customHeight="1">
      <c r="H2064" s="374" t="s">
        <v>1545</v>
      </c>
      <c r="K2064" s="283">
        <f>(K2062/3)</f>
        <v>717.55</v>
      </c>
      <c r="M2064" s="754"/>
      <c r="N2064" s="754"/>
      <c r="O2064" s="752" t="s">
        <v>5173</v>
      </c>
      <c r="P2064" s="754">
        <f>1*18*0.54*0.45</f>
        <v>4.37</v>
      </c>
      <c r="Q2064" s="752"/>
      <c r="R2064" s="754"/>
      <c r="W2064" s="744"/>
    </row>
    <row r="2065" spans="6:23" ht="24" customHeight="1">
      <c r="K2065" s="748" t="s">
        <v>1586</v>
      </c>
      <c r="M2065" s="754"/>
      <c r="N2065" s="754"/>
      <c r="O2065" s="752" t="s">
        <v>5174</v>
      </c>
      <c r="P2065" s="754">
        <f>1*6*0.54*0.51</f>
        <v>1.65</v>
      </c>
      <c r="Q2065" s="752"/>
      <c r="R2065" s="754"/>
      <c r="W2065" s="744"/>
    </row>
    <row r="2066" spans="6:23" ht="24" customHeight="1">
      <c r="F2066" s="744" t="s">
        <v>735</v>
      </c>
      <c r="G2066" s="283" t="s">
        <v>284</v>
      </c>
      <c r="H2066" s="374" t="s">
        <v>736</v>
      </c>
      <c r="M2066" s="754"/>
      <c r="N2066" s="754"/>
      <c r="O2066" s="752"/>
      <c r="P2066" s="753">
        <f>SUM(P2064:P2065)</f>
        <v>6.02</v>
      </c>
      <c r="Q2066" s="752" t="s">
        <v>2283</v>
      </c>
      <c r="R2066" s="754"/>
      <c r="W2066" s="744"/>
    </row>
    <row r="2067" spans="6:23" ht="24" customHeight="1">
      <c r="H2067" s="374" t="s">
        <v>6127</v>
      </c>
      <c r="M2067" s="754"/>
      <c r="N2067" s="754"/>
      <c r="O2067" s="752"/>
      <c r="P2067" s="754"/>
      <c r="Q2067" s="752"/>
      <c r="R2067" s="754"/>
      <c r="W2067" s="744"/>
    </row>
    <row r="2068" spans="6:23" ht="24" customHeight="1">
      <c r="H2068" s="374" t="s">
        <v>946</v>
      </c>
      <c r="M2068" s="754"/>
      <c r="N2068" s="754"/>
      <c r="O2068" s="752" t="s">
        <v>5175</v>
      </c>
      <c r="P2068" s="754">
        <f>3.78*1.95</f>
        <v>7.37</v>
      </c>
      <c r="Q2068" s="752" t="s">
        <v>2283</v>
      </c>
      <c r="R2068" s="836" t="s">
        <v>975</v>
      </c>
      <c r="W2068" s="744"/>
    </row>
    <row r="2069" spans="6:23" ht="24" customHeight="1">
      <c r="H2069" s="374" t="s">
        <v>737</v>
      </c>
      <c r="M2069" s="754"/>
      <c r="N2069" s="754"/>
      <c r="O2069" s="752"/>
      <c r="P2069" s="754"/>
      <c r="Q2069" s="752"/>
      <c r="R2069" s="836"/>
      <c r="W2069" s="744"/>
    </row>
    <row r="2070" spans="6:23" ht="24" customHeight="1">
      <c r="H2070" s="374" t="s">
        <v>541</v>
      </c>
      <c r="M2070" s="754"/>
      <c r="N2070" s="754"/>
      <c r="O2070" s="752" t="s">
        <v>5176</v>
      </c>
      <c r="P2070" s="754">
        <f>18*2</f>
        <v>36</v>
      </c>
      <c r="Q2070" s="752" t="s">
        <v>1394</v>
      </c>
      <c r="R2070" s="836"/>
      <c r="W2070" s="744"/>
    </row>
    <row r="2071" spans="6:23" ht="24" customHeight="1">
      <c r="H2071" s="374" t="s">
        <v>2105</v>
      </c>
      <c r="M2071" s="754"/>
      <c r="N2071" s="754"/>
      <c r="O2071" s="752" t="s">
        <v>5177</v>
      </c>
      <c r="P2071" s="754">
        <f>18*1</f>
        <v>18</v>
      </c>
      <c r="Q2071" s="752" t="s">
        <v>1394</v>
      </c>
      <c r="R2071" s="836"/>
      <c r="W2071" s="744"/>
    </row>
    <row r="2072" spans="6:23" ht="24" customHeight="1">
      <c r="H2072" s="374" t="s">
        <v>199</v>
      </c>
      <c r="M2072" s="754"/>
      <c r="N2072" s="754"/>
      <c r="O2072" s="754" t="s">
        <v>4234</v>
      </c>
      <c r="P2072" s="754">
        <f>18*1</f>
        <v>18</v>
      </c>
      <c r="Q2072" s="752" t="s">
        <v>1394</v>
      </c>
      <c r="R2072" s="836"/>
      <c r="W2072" s="744"/>
    </row>
    <row r="2073" spans="6:23" ht="24" customHeight="1">
      <c r="H2073" s="748" t="s">
        <v>1586</v>
      </c>
      <c r="M2073" s="754"/>
      <c r="N2073" s="754"/>
      <c r="O2073" s="752" t="s">
        <v>5178</v>
      </c>
      <c r="P2073" s="754">
        <f>3.93*2.6*2.1</f>
        <v>21.46</v>
      </c>
      <c r="Q2073" s="752" t="s">
        <v>2283</v>
      </c>
      <c r="R2073" s="836"/>
      <c r="W2073" s="744"/>
    </row>
    <row r="2074" spans="6:23" ht="24" customHeight="1">
      <c r="F2074" s="283">
        <v>3</v>
      </c>
      <c r="G2074" s="283" t="s">
        <v>1771</v>
      </c>
      <c r="H2074" s="374" t="s">
        <v>1003</v>
      </c>
      <c r="I2074" s="283">
        <f>C622</f>
        <v>115.85</v>
      </c>
      <c r="J2074" s="374" t="s">
        <v>1771</v>
      </c>
      <c r="K2074" s="283">
        <f t="shared" ref="K2074:K2080" si="241">(F2074*I2074)</f>
        <v>347.55</v>
      </c>
      <c r="M2074" s="754"/>
      <c r="N2074" s="754"/>
      <c r="O2074" s="754"/>
      <c r="P2074" s="754"/>
      <c r="Q2074" s="752"/>
      <c r="R2074" s="754"/>
      <c r="W2074" s="744"/>
    </row>
    <row r="2075" spans="6:23" ht="24" customHeight="1">
      <c r="F2075" s="283">
        <v>1</v>
      </c>
      <c r="G2075" s="283" t="s">
        <v>769</v>
      </c>
      <c r="H2075" s="374" t="s">
        <v>1004</v>
      </c>
      <c r="I2075" s="283">
        <f>C625</f>
        <v>45</v>
      </c>
      <c r="J2075" s="374" t="s">
        <v>1716</v>
      </c>
      <c r="K2075" s="283">
        <f t="shared" si="241"/>
        <v>45</v>
      </c>
      <c r="M2075" s="837">
        <f>P2052</f>
        <v>9.6000000000000002E-2</v>
      </c>
      <c r="N2075" s="754" t="s">
        <v>869</v>
      </c>
      <c r="O2075" s="752" t="s">
        <v>692</v>
      </c>
      <c r="P2075" s="754">
        <f>I3101</f>
        <v>111600</v>
      </c>
      <c r="Q2075" s="752" t="s">
        <v>869</v>
      </c>
      <c r="R2075" s="754">
        <f t="shared" ref="R2075:R2084" si="242">(M2075*P2075)</f>
        <v>10713.6</v>
      </c>
      <c r="W2075" s="744"/>
    </row>
    <row r="2076" spans="6:23" ht="24" customHeight="1">
      <c r="F2076" s="283">
        <v>1</v>
      </c>
      <c r="G2076" s="283" t="s">
        <v>769</v>
      </c>
      <c r="H2076" s="374" t="s">
        <v>1005</v>
      </c>
      <c r="I2076" s="283">
        <f>C650</f>
        <v>55.5</v>
      </c>
      <c r="J2076" s="374" t="s">
        <v>1716</v>
      </c>
      <c r="K2076" s="283">
        <f t="shared" si="241"/>
        <v>55.5</v>
      </c>
      <c r="M2076" s="837">
        <f>P2062</f>
        <v>0.17599999999999999</v>
      </c>
      <c r="N2076" s="754" t="s">
        <v>869</v>
      </c>
      <c r="O2076" s="752" t="s">
        <v>693</v>
      </c>
      <c r="P2076" s="754">
        <f t="shared" ref="P2076:P2084" si="243">I3102</f>
        <v>99400</v>
      </c>
      <c r="Q2076" s="752" t="s">
        <v>869</v>
      </c>
      <c r="R2076" s="754">
        <f t="shared" si="242"/>
        <v>17494.400000000001</v>
      </c>
      <c r="W2076" s="744"/>
    </row>
    <row r="2077" spans="6:23" ht="24" customHeight="1">
      <c r="F2077" s="283">
        <v>1</v>
      </c>
      <c r="G2077" s="283" t="s">
        <v>769</v>
      </c>
      <c r="H2077" s="374" t="s">
        <v>84</v>
      </c>
      <c r="I2077" s="283">
        <f>C647</f>
        <v>125.2</v>
      </c>
      <c r="J2077" s="374" t="s">
        <v>1716</v>
      </c>
      <c r="K2077" s="283">
        <f t="shared" si="241"/>
        <v>125.2</v>
      </c>
      <c r="M2077" s="837">
        <f>SUM(M2075:M2076)</f>
        <v>0.27200000000000002</v>
      </c>
      <c r="N2077" s="754" t="s">
        <v>869</v>
      </c>
      <c r="O2077" s="752" t="s">
        <v>886</v>
      </c>
      <c r="P2077" s="754">
        <f t="shared" si="243"/>
        <v>13690</v>
      </c>
      <c r="Q2077" s="752" t="s">
        <v>869</v>
      </c>
      <c r="R2077" s="754">
        <f t="shared" si="242"/>
        <v>3723.68</v>
      </c>
      <c r="W2077" s="744"/>
    </row>
    <row r="2078" spans="6:23" ht="24" customHeight="1">
      <c r="F2078" s="283">
        <v>0.5</v>
      </c>
      <c r="G2078" s="283" t="s">
        <v>868</v>
      </c>
      <c r="H2078" s="374" t="s">
        <v>2103</v>
      </c>
      <c r="I2078" s="283">
        <f>(C15)</f>
        <v>866</v>
      </c>
      <c r="J2078" s="374" t="s">
        <v>1716</v>
      </c>
      <c r="K2078" s="283">
        <f t="shared" si="241"/>
        <v>433</v>
      </c>
      <c r="M2078" s="837">
        <f>P2066</f>
        <v>6.02</v>
      </c>
      <c r="N2078" s="754" t="s">
        <v>609</v>
      </c>
      <c r="O2078" s="752" t="s">
        <v>5179</v>
      </c>
      <c r="P2078" s="754">
        <f t="shared" si="243"/>
        <v>387.4</v>
      </c>
      <c r="Q2078" s="752" t="s">
        <v>609</v>
      </c>
      <c r="R2078" s="754">
        <f t="shared" si="242"/>
        <v>2332.15</v>
      </c>
      <c r="W2078" s="744"/>
    </row>
    <row r="2079" spans="6:23" ht="24" customHeight="1">
      <c r="F2079" s="283">
        <v>0.5</v>
      </c>
      <c r="G2079" s="283" t="s">
        <v>868</v>
      </c>
      <c r="H2079" s="374" t="s">
        <v>1712</v>
      </c>
      <c r="I2079" s="283">
        <f>(C11)</f>
        <v>932</v>
      </c>
      <c r="J2079" s="374" t="s">
        <v>1716</v>
      </c>
      <c r="K2079" s="283">
        <f t="shared" si="241"/>
        <v>466</v>
      </c>
      <c r="M2079" s="837">
        <f>P2068</f>
        <v>7.37</v>
      </c>
      <c r="N2079" s="754" t="s">
        <v>609</v>
      </c>
      <c r="O2079" s="752" t="s">
        <v>1506</v>
      </c>
      <c r="P2079" s="754">
        <f t="shared" si="243"/>
        <v>1281</v>
      </c>
      <c r="Q2079" s="752" t="s">
        <v>609</v>
      </c>
      <c r="R2079" s="754">
        <f t="shared" si="242"/>
        <v>9440.9699999999993</v>
      </c>
      <c r="W2079" s="744"/>
    </row>
    <row r="2080" spans="6:23" ht="24" customHeight="1">
      <c r="F2080" s="283">
        <v>0.5</v>
      </c>
      <c r="G2080" s="283" t="s">
        <v>868</v>
      </c>
      <c r="H2080" s="374" t="s">
        <v>1902</v>
      </c>
      <c r="I2080" s="283">
        <f>(C12)</f>
        <v>651</v>
      </c>
      <c r="J2080" s="374" t="s">
        <v>1716</v>
      </c>
      <c r="K2080" s="283">
        <f t="shared" si="241"/>
        <v>325.5</v>
      </c>
      <c r="M2080" s="754">
        <f>P2070</f>
        <v>36</v>
      </c>
      <c r="N2080" s="754" t="s">
        <v>868</v>
      </c>
      <c r="O2080" s="752" t="s">
        <v>1343</v>
      </c>
      <c r="P2080" s="754">
        <f t="shared" si="243"/>
        <v>57</v>
      </c>
      <c r="Q2080" s="752" t="s">
        <v>868</v>
      </c>
      <c r="R2080" s="754">
        <f t="shared" si="242"/>
        <v>2052</v>
      </c>
      <c r="W2080" s="744"/>
    </row>
    <row r="2081" spans="6:23" ht="24" customHeight="1">
      <c r="G2081" s="283" t="s">
        <v>449</v>
      </c>
      <c r="H2081" s="374" t="s">
        <v>1523</v>
      </c>
      <c r="I2081" s="374" t="s">
        <v>975</v>
      </c>
      <c r="J2081" s="374" t="s">
        <v>449</v>
      </c>
      <c r="K2081" s="283">
        <v>2.73</v>
      </c>
      <c r="M2081" s="754">
        <f>P2071</f>
        <v>18</v>
      </c>
      <c r="N2081" s="754" t="s">
        <v>868</v>
      </c>
      <c r="O2081" s="752" t="s">
        <v>4596</v>
      </c>
      <c r="P2081" s="754">
        <f t="shared" si="243"/>
        <v>49.35</v>
      </c>
      <c r="Q2081" s="752" t="s">
        <v>868</v>
      </c>
      <c r="R2081" s="754">
        <f t="shared" si="242"/>
        <v>888.3</v>
      </c>
      <c r="W2081" s="744"/>
    </row>
    <row r="2082" spans="6:23" ht="24" customHeight="1">
      <c r="H2082" s="374" t="s">
        <v>83</v>
      </c>
      <c r="M2082" s="754">
        <f>P2072</f>
        <v>18</v>
      </c>
      <c r="N2082" s="754" t="s">
        <v>868</v>
      </c>
      <c r="O2082" s="754" t="s">
        <v>5180</v>
      </c>
      <c r="P2082" s="754">
        <f t="shared" si="243"/>
        <v>60.9</v>
      </c>
      <c r="Q2082" s="752" t="s">
        <v>868</v>
      </c>
      <c r="R2082" s="754">
        <f t="shared" si="242"/>
        <v>1096.2</v>
      </c>
      <c r="W2082" s="744"/>
    </row>
    <row r="2083" spans="6:23" ht="24" customHeight="1">
      <c r="H2083" s="374" t="s">
        <v>190</v>
      </c>
      <c r="M2083" s="754">
        <f>P2073</f>
        <v>21.46</v>
      </c>
      <c r="N2083" s="754" t="s">
        <v>609</v>
      </c>
      <c r="O2083" s="752" t="s">
        <v>5181</v>
      </c>
      <c r="P2083" s="754">
        <f t="shared" si="243"/>
        <v>63.2</v>
      </c>
      <c r="Q2083" s="752" t="s">
        <v>609</v>
      </c>
      <c r="R2083" s="754">
        <f t="shared" si="242"/>
        <v>1356.27</v>
      </c>
      <c r="W2083" s="744"/>
    </row>
    <row r="2084" spans="6:23" ht="24" customHeight="1">
      <c r="H2084" s="374" t="s">
        <v>734</v>
      </c>
      <c r="J2084" s="374" t="s">
        <v>449</v>
      </c>
      <c r="K2084" s="283">
        <v>0.27</v>
      </c>
      <c r="M2084" s="754">
        <v>50</v>
      </c>
      <c r="N2084" s="754" t="s">
        <v>1432</v>
      </c>
      <c r="O2084" s="752" t="s">
        <v>1414</v>
      </c>
      <c r="P2084" s="754">
        <f t="shared" si="243"/>
        <v>233.74</v>
      </c>
      <c r="Q2084" s="752" t="s">
        <v>868</v>
      </c>
      <c r="R2084" s="754">
        <f t="shared" si="242"/>
        <v>11687</v>
      </c>
      <c r="W2084" s="744"/>
    </row>
    <row r="2085" spans="6:23" ht="24" customHeight="1">
      <c r="K2085" s="748" t="s">
        <v>1586</v>
      </c>
      <c r="M2085" s="754"/>
      <c r="N2085" s="754"/>
      <c r="O2085" s="754"/>
      <c r="P2085" s="754"/>
      <c r="Q2085" s="752"/>
      <c r="R2085" s="758" t="s">
        <v>1586</v>
      </c>
      <c r="W2085" s="744"/>
    </row>
    <row r="2086" spans="6:23" ht="24" customHeight="1">
      <c r="H2086" s="374" t="s">
        <v>1317</v>
      </c>
      <c r="K2086" s="283">
        <f>SUM(K2074:K2084)</f>
        <v>1800.75</v>
      </c>
      <c r="M2086" s="754"/>
      <c r="N2086" s="754"/>
      <c r="O2086" s="756" t="s">
        <v>1415</v>
      </c>
      <c r="P2086" s="754"/>
      <c r="Q2086" s="752"/>
      <c r="R2086" s="754">
        <f>SUM(R2075:R2084)</f>
        <v>60784.57</v>
      </c>
      <c r="W2086" s="744"/>
    </row>
    <row r="2087" spans="6:23" ht="24" customHeight="1">
      <c r="K2087" s="748" t="s">
        <v>1586</v>
      </c>
      <c r="M2087" s="754"/>
      <c r="N2087" s="754" t="s">
        <v>975</v>
      </c>
      <c r="O2087" s="754"/>
      <c r="P2087" s="754"/>
      <c r="Q2087" s="752"/>
      <c r="R2087" s="758" t="s">
        <v>1586</v>
      </c>
      <c r="W2087" s="744"/>
    </row>
    <row r="2088" spans="6:23" ht="24" customHeight="1">
      <c r="H2088" s="374" t="s">
        <v>1545</v>
      </c>
      <c r="K2088" s="283">
        <f>(K2086/3)</f>
        <v>600.25</v>
      </c>
      <c r="M2088" s="754"/>
      <c r="N2088" s="754"/>
      <c r="O2088" s="755" t="s">
        <v>552</v>
      </c>
      <c r="P2088" s="754"/>
      <c r="Q2088" s="752"/>
      <c r="R2088" s="753">
        <f>R2086/P2048</f>
        <v>7367.83</v>
      </c>
      <c r="W2088" s="744"/>
    </row>
    <row r="2089" spans="6:23" ht="24" customHeight="1">
      <c r="K2089" s="748" t="s">
        <v>1586</v>
      </c>
      <c r="M2089" s="754"/>
      <c r="N2089" s="754"/>
      <c r="O2089" s="754"/>
      <c r="P2089" s="754"/>
      <c r="Q2089" s="752"/>
      <c r="R2089" s="758" t="s">
        <v>2055</v>
      </c>
      <c r="W2089" s="744"/>
    </row>
    <row r="2090" spans="6:23" ht="24" customHeight="1">
      <c r="F2090" s="744" t="s">
        <v>85</v>
      </c>
      <c r="H2090" s="374" t="s">
        <v>206</v>
      </c>
      <c r="M2090" s="754"/>
      <c r="N2090" s="754"/>
      <c r="O2090" s="754"/>
      <c r="P2090" s="754"/>
      <c r="Q2090" s="754"/>
      <c r="R2090" s="754"/>
      <c r="W2090" s="744"/>
    </row>
    <row r="2091" spans="6:23" ht="24" customHeight="1">
      <c r="H2091" s="374" t="s">
        <v>1819</v>
      </c>
      <c r="W2091" s="744"/>
    </row>
    <row r="2092" spans="6:23" ht="24" customHeight="1">
      <c r="F2092" s="374" t="s">
        <v>975</v>
      </c>
      <c r="H2092" s="374" t="s">
        <v>2195</v>
      </c>
      <c r="W2092" s="744"/>
    </row>
    <row r="2093" spans="6:23" ht="48" customHeight="1">
      <c r="H2093" s="748" t="s">
        <v>1586</v>
      </c>
      <c r="M2093" s="786"/>
      <c r="N2093" s="786"/>
      <c r="O2093" s="786" t="s">
        <v>5182</v>
      </c>
      <c r="P2093" s="786"/>
      <c r="Q2093" s="786"/>
      <c r="R2093" s="786"/>
      <c r="W2093" s="744"/>
    </row>
    <row r="2094" spans="6:23" ht="24" customHeight="1">
      <c r="F2094" s="283">
        <v>3</v>
      </c>
      <c r="G2094" s="283" t="s">
        <v>2196</v>
      </c>
      <c r="H2094" s="374" t="s">
        <v>2197</v>
      </c>
      <c r="I2094" s="283">
        <f>D621</f>
        <v>120.54</v>
      </c>
      <c r="J2094" s="374" t="s">
        <v>2196</v>
      </c>
      <c r="K2094" s="283">
        <f>(F2094*I2094)</f>
        <v>361.62</v>
      </c>
      <c r="M2094" s="838">
        <v>8.5000000000000006E-2</v>
      </c>
      <c r="N2094" s="786" t="s">
        <v>2151</v>
      </c>
      <c r="O2094" s="786" t="s">
        <v>5183</v>
      </c>
      <c r="P2094" s="786">
        <f>Z719</f>
        <v>7888.83</v>
      </c>
      <c r="Q2094" s="786" t="s">
        <v>1398</v>
      </c>
      <c r="R2094" s="786">
        <f>M2094*P2094</f>
        <v>670.55</v>
      </c>
      <c r="W2094" s="744"/>
    </row>
    <row r="2095" spans="6:23" ht="24" customHeight="1">
      <c r="F2095" s="283">
        <v>1</v>
      </c>
      <c r="G2095" s="283" t="s">
        <v>1760</v>
      </c>
      <c r="H2095" s="374" t="s">
        <v>2198</v>
      </c>
      <c r="I2095" s="283">
        <f>C649</f>
        <v>82.3</v>
      </c>
      <c r="J2095" s="374" t="s">
        <v>1760</v>
      </c>
      <c r="K2095" s="283">
        <f>(F2095*I2095)</f>
        <v>82.3</v>
      </c>
      <c r="M2095" s="786">
        <v>8.5</v>
      </c>
      <c r="N2095" s="786" t="s">
        <v>1645</v>
      </c>
      <c r="O2095" s="786" t="s">
        <v>5184</v>
      </c>
      <c r="P2095" s="786">
        <f>K1609/1000</f>
        <v>88.87</v>
      </c>
      <c r="Q2095" s="786" t="s">
        <v>1645</v>
      </c>
      <c r="R2095" s="786">
        <f>M2095*P2095</f>
        <v>755.4</v>
      </c>
      <c r="W2095" s="744"/>
    </row>
    <row r="2096" spans="6:23" ht="24" customHeight="1">
      <c r="F2096" s="283">
        <v>1</v>
      </c>
      <c r="G2096" s="283" t="s">
        <v>1760</v>
      </c>
      <c r="H2096" s="374" t="s">
        <v>2199</v>
      </c>
      <c r="I2096" s="283">
        <v>8</v>
      </c>
      <c r="J2096" s="374" t="s">
        <v>1760</v>
      </c>
      <c r="K2096" s="283">
        <f>(F2096*I2096)</f>
        <v>8</v>
      </c>
      <c r="M2096" s="786"/>
      <c r="N2096" s="786"/>
      <c r="O2096" s="786" t="s">
        <v>2271</v>
      </c>
      <c r="P2096" s="786"/>
      <c r="Q2096" s="786"/>
      <c r="R2096" s="839" t="s">
        <v>1586</v>
      </c>
      <c r="W2096" s="744"/>
    </row>
    <row r="2097" spans="6:23" ht="24" customHeight="1">
      <c r="F2097" s="744" t="s">
        <v>733</v>
      </c>
      <c r="H2097" s="374" t="s">
        <v>2200</v>
      </c>
      <c r="I2097" s="744" t="s">
        <v>733</v>
      </c>
      <c r="K2097" s="283">
        <f>1.21+0.47+0.4</f>
        <v>2.08</v>
      </c>
      <c r="M2097" s="786"/>
      <c r="N2097" s="786"/>
      <c r="O2097" s="786"/>
      <c r="P2097" s="786"/>
      <c r="Q2097" s="786"/>
      <c r="R2097" s="786">
        <f>SUM(R2094:R2096)</f>
        <v>1425.95</v>
      </c>
      <c r="W2097" s="744"/>
    </row>
    <row r="2098" spans="6:23" ht="24" customHeight="1">
      <c r="K2098" s="748" t="s">
        <v>1586</v>
      </c>
      <c r="W2098" s="744"/>
    </row>
    <row r="2099" spans="6:23" ht="24" customHeight="1">
      <c r="H2099" s="374" t="s">
        <v>396</v>
      </c>
      <c r="K2099" s="283">
        <f>SUM(K2094:K2097)</f>
        <v>454</v>
      </c>
      <c r="M2099" s="786"/>
      <c r="N2099" s="786"/>
      <c r="O2099" s="786" t="s">
        <v>5182</v>
      </c>
      <c r="P2099" s="786"/>
      <c r="Q2099" s="786"/>
      <c r="R2099" s="786"/>
      <c r="W2099" s="744"/>
    </row>
    <row r="2100" spans="6:23" ht="24" customHeight="1">
      <c r="K2100" s="748" t="s">
        <v>1586</v>
      </c>
      <c r="M2100" s="838">
        <v>4.4999999999999998E-2</v>
      </c>
      <c r="N2100" s="786" t="s">
        <v>2151</v>
      </c>
      <c r="O2100" s="786" t="s">
        <v>5186</v>
      </c>
      <c r="P2100" s="786">
        <f>P2094</f>
        <v>7888.83</v>
      </c>
      <c r="Q2100" s="786" t="s">
        <v>1398</v>
      </c>
      <c r="R2100" s="786">
        <f>M2100*P2100</f>
        <v>355</v>
      </c>
      <c r="W2100" s="744"/>
    </row>
    <row r="2101" spans="6:23" ht="24" customHeight="1">
      <c r="M2101" s="786">
        <v>4.5</v>
      </c>
      <c r="N2101" s="786" t="s">
        <v>1645</v>
      </c>
      <c r="O2101" s="786" t="s">
        <v>5184</v>
      </c>
      <c r="P2101" s="786">
        <f>P2095</f>
        <v>88.87</v>
      </c>
      <c r="Q2101" s="786" t="s">
        <v>1645</v>
      </c>
      <c r="R2101" s="786">
        <f>M2101*P2101</f>
        <v>399.92</v>
      </c>
      <c r="W2101" s="744"/>
    </row>
    <row r="2102" spans="6:23" ht="24" customHeight="1">
      <c r="F2102" s="744" t="s">
        <v>397</v>
      </c>
      <c r="G2102" s="283" t="s">
        <v>2251</v>
      </c>
      <c r="H2102" s="374" t="s">
        <v>1133</v>
      </c>
      <c r="M2102" s="786"/>
      <c r="N2102" s="786"/>
      <c r="O2102" s="786" t="s">
        <v>2271</v>
      </c>
      <c r="P2102" s="786"/>
      <c r="Q2102" s="786"/>
      <c r="R2102" s="839" t="s">
        <v>1586</v>
      </c>
      <c r="W2102" s="744"/>
    </row>
    <row r="2103" spans="6:23" ht="24" customHeight="1">
      <c r="H2103" s="374" t="s">
        <v>294</v>
      </c>
      <c r="M2103" s="786"/>
      <c r="N2103" s="786"/>
      <c r="O2103" s="786"/>
      <c r="P2103" s="786"/>
      <c r="Q2103" s="786"/>
      <c r="R2103" s="786">
        <f>SUM(R2100:R2102)</f>
        <v>754.92</v>
      </c>
      <c r="W2103" s="744"/>
    </row>
    <row r="2104" spans="6:23" ht="24" customHeight="1">
      <c r="H2104" s="748" t="s">
        <v>1586</v>
      </c>
      <c r="W2104" s="744"/>
    </row>
    <row r="2105" spans="6:23" ht="24" customHeight="1">
      <c r="F2105" s="283">
        <v>1</v>
      </c>
      <c r="G2105" s="283" t="s">
        <v>868</v>
      </c>
      <c r="H2105" s="374" t="s">
        <v>294</v>
      </c>
      <c r="I2105" s="283">
        <f>(C267)</f>
        <v>170.35</v>
      </c>
      <c r="J2105" s="374" t="s">
        <v>868</v>
      </c>
      <c r="K2105" s="283">
        <f>(F2105*I2105)</f>
        <v>170.35</v>
      </c>
      <c r="W2105" s="744"/>
    </row>
    <row r="2106" spans="6:23" ht="24" customHeight="1">
      <c r="F2106" s="283">
        <v>0.05</v>
      </c>
      <c r="G2106" s="283" t="s">
        <v>869</v>
      </c>
      <c r="H2106" s="374" t="s">
        <v>1175</v>
      </c>
      <c r="I2106" s="283">
        <f>(R61)</f>
        <v>4278.7700000000004</v>
      </c>
      <c r="J2106" s="374" t="s">
        <v>869</v>
      </c>
      <c r="K2106" s="283">
        <f>(F2106*I2106)</f>
        <v>213.94</v>
      </c>
      <c r="M2106" s="786"/>
      <c r="N2106" s="786"/>
      <c r="O2106" s="786" t="s">
        <v>5185</v>
      </c>
      <c r="P2106" s="786"/>
      <c r="Q2106" s="786"/>
      <c r="R2106" s="786"/>
      <c r="W2106" s="744"/>
    </row>
    <row r="2107" spans="6:23" ht="24" customHeight="1">
      <c r="F2107" s="283">
        <v>0.5</v>
      </c>
      <c r="G2107" s="283" t="s">
        <v>868</v>
      </c>
      <c r="H2107" s="374" t="s">
        <v>2103</v>
      </c>
      <c r="I2107" s="283">
        <f>(C15)</f>
        <v>866</v>
      </c>
      <c r="J2107" s="374" t="s">
        <v>868</v>
      </c>
      <c r="K2107" s="283">
        <f>(F2107*I2107)</f>
        <v>433</v>
      </c>
      <c r="M2107" s="838">
        <v>8.5000000000000006E-2</v>
      </c>
      <c r="N2107" s="786" t="s">
        <v>2151</v>
      </c>
      <c r="O2107" s="786" t="s">
        <v>5183</v>
      </c>
      <c r="P2107" s="786">
        <f>Z719</f>
        <v>7888.83</v>
      </c>
      <c r="Q2107" s="786" t="s">
        <v>1398</v>
      </c>
      <c r="R2107" s="786">
        <f>M2107*P2107</f>
        <v>670.55</v>
      </c>
      <c r="W2107" s="744"/>
    </row>
    <row r="2108" spans="6:23" ht="24" customHeight="1">
      <c r="F2108" s="283">
        <v>1</v>
      </c>
      <c r="G2108" s="283" t="s">
        <v>868</v>
      </c>
      <c r="H2108" s="374" t="s">
        <v>1902</v>
      </c>
      <c r="I2108" s="283">
        <f>(C12)</f>
        <v>651</v>
      </c>
      <c r="J2108" s="374" t="s">
        <v>868</v>
      </c>
      <c r="K2108" s="283">
        <f>(F2108*I2108)</f>
        <v>651</v>
      </c>
      <c r="M2108" s="786">
        <v>8.5</v>
      </c>
      <c r="N2108" s="786" t="s">
        <v>1645</v>
      </c>
      <c r="O2108" s="786" t="s">
        <v>5184</v>
      </c>
      <c r="P2108" s="786">
        <f>P2101</f>
        <v>88.87</v>
      </c>
      <c r="Q2108" s="786" t="s">
        <v>1645</v>
      </c>
      <c r="R2108" s="786">
        <f>M2108*P2108</f>
        <v>755.4</v>
      </c>
      <c r="W2108" s="744"/>
    </row>
    <row r="2109" spans="6:23" ht="24" customHeight="1">
      <c r="F2109" s="283">
        <v>1</v>
      </c>
      <c r="G2109" s="283" t="s">
        <v>868</v>
      </c>
      <c r="H2109" s="374" t="s">
        <v>320</v>
      </c>
      <c r="I2109" s="283">
        <f>(C13)</f>
        <v>534</v>
      </c>
      <c r="J2109" s="374" t="s">
        <v>868</v>
      </c>
      <c r="K2109" s="283">
        <f>(F2109*I2109)</f>
        <v>534</v>
      </c>
      <c r="M2109" s="786"/>
      <c r="N2109" s="786"/>
      <c r="O2109" s="786" t="s">
        <v>2271</v>
      </c>
      <c r="P2109" s="786"/>
      <c r="Q2109" s="786"/>
      <c r="R2109" s="839" t="s">
        <v>1586</v>
      </c>
      <c r="W2109" s="744"/>
    </row>
    <row r="2110" spans="6:23" ht="24" customHeight="1">
      <c r="G2110" s="283" t="s">
        <v>449</v>
      </c>
      <c r="H2110" s="374" t="s">
        <v>450</v>
      </c>
      <c r="I2110" s="374" t="s">
        <v>975</v>
      </c>
      <c r="J2110" s="374" t="s">
        <v>449</v>
      </c>
      <c r="K2110" s="283">
        <v>0.54</v>
      </c>
      <c r="M2110" s="786"/>
      <c r="N2110" s="786"/>
      <c r="O2110" s="786"/>
      <c r="P2110" s="786"/>
      <c r="Q2110" s="786"/>
      <c r="R2110" s="786">
        <f>SUM(R2107:R2109)</f>
        <v>1425.95</v>
      </c>
      <c r="W2110" s="744"/>
    </row>
    <row r="2111" spans="6:23" ht="24" customHeight="1">
      <c r="H2111" s="374" t="s">
        <v>975</v>
      </c>
      <c r="K2111" s="748" t="s">
        <v>1586</v>
      </c>
      <c r="W2111" s="744"/>
    </row>
    <row r="2112" spans="6:23" ht="24" customHeight="1">
      <c r="H2112" s="374" t="s">
        <v>1751</v>
      </c>
      <c r="K2112" s="283">
        <f>SUM(K2105:K2110)</f>
        <v>2002.83</v>
      </c>
      <c r="W2112" s="744"/>
    </row>
    <row r="2113" spans="6:23" ht="66" customHeight="1">
      <c r="K2113" s="748" t="s">
        <v>2055</v>
      </c>
      <c r="M2113" s="786"/>
      <c r="N2113" s="786"/>
      <c r="O2113" s="786" t="s">
        <v>5185</v>
      </c>
      <c r="P2113" s="786"/>
      <c r="Q2113" s="786"/>
      <c r="R2113" s="786"/>
      <c r="W2113" s="744"/>
    </row>
    <row r="2114" spans="6:23" ht="24" customHeight="1">
      <c r="F2114" s="744" t="s">
        <v>1176</v>
      </c>
      <c r="G2114" s="283" t="s">
        <v>2251</v>
      </c>
      <c r="H2114" s="374" t="s">
        <v>2225</v>
      </c>
      <c r="M2114" s="838">
        <v>8.5000000000000006E-2</v>
      </c>
      <c r="N2114" s="786" t="s">
        <v>2151</v>
      </c>
      <c r="O2114" s="786" t="s">
        <v>5183</v>
      </c>
      <c r="P2114" s="786">
        <f>Z726</f>
        <v>0</v>
      </c>
      <c r="Q2114" s="786" t="s">
        <v>1398</v>
      </c>
      <c r="R2114" s="786">
        <f>M2114*P2114</f>
        <v>0</v>
      </c>
      <c r="W2114" s="744"/>
    </row>
    <row r="2115" spans="6:23" ht="24" customHeight="1">
      <c r="H2115" s="374" t="s">
        <v>2120</v>
      </c>
      <c r="M2115" s="786">
        <v>8.5</v>
      </c>
      <c r="N2115" s="786" t="s">
        <v>1645</v>
      </c>
      <c r="O2115" s="786" t="s">
        <v>5184</v>
      </c>
      <c r="P2115" s="786">
        <f>P2108</f>
        <v>88.87</v>
      </c>
      <c r="Q2115" s="786" t="s">
        <v>1645</v>
      </c>
      <c r="R2115" s="786">
        <f>M2115*P2115</f>
        <v>755.4</v>
      </c>
      <c r="W2115" s="744"/>
    </row>
    <row r="2116" spans="6:23" ht="24" customHeight="1">
      <c r="H2116" s="748" t="s">
        <v>1586</v>
      </c>
      <c r="M2116" s="786"/>
      <c r="N2116" s="786"/>
      <c r="O2116" s="786" t="s">
        <v>2271</v>
      </c>
      <c r="P2116" s="786"/>
      <c r="Q2116" s="786"/>
      <c r="R2116" s="839" t="s">
        <v>1586</v>
      </c>
      <c r="W2116" s="744"/>
    </row>
    <row r="2117" spans="6:23" ht="24" customHeight="1">
      <c r="F2117" s="283">
        <v>1</v>
      </c>
      <c r="G2117" s="283" t="s">
        <v>868</v>
      </c>
      <c r="H2117" s="374" t="s">
        <v>2226</v>
      </c>
      <c r="I2117" s="283">
        <f>(D268)</f>
        <v>156</v>
      </c>
      <c r="J2117" s="374" t="s">
        <v>868</v>
      </c>
      <c r="K2117" s="283">
        <f>(F2117*I2117)</f>
        <v>156</v>
      </c>
      <c r="M2117" s="786"/>
      <c r="N2117" s="786"/>
      <c r="O2117" s="786"/>
      <c r="P2117" s="786"/>
      <c r="Q2117" s="786"/>
      <c r="R2117" s="786">
        <f>SUM(R2114:R2116)</f>
        <v>755.4</v>
      </c>
      <c r="W2117" s="744"/>
    </row>
    <row r="2118" spans="6:23" ht="33" customHeight="1">
      <c r="G2118" s="283" t="s">
        <v>449</v>
      </c>
      <c r="H2118" s="374" t="s">
        <v>1686</v>
      </c>
      <c r="J2118" s="374" t="s">
        <v>449</v>
      </c>
      <c r="K2118" s="283">
        <v>4</v>
      </c>
      <c r="W2118" s="744"/>
    </row>
    <row r="2119" spans="6:23" ht="24" customHeight="1">
      <c r="J2119" s="374" t="s">
        <v>975</v>
      </c>
      <c r="K2119" s="748" t="s">
        <v>1586</v>
      </c>
      <c r="W2119" s="744"/>
    </row>
    <row r="2120" spans="6:23" ht="49.5" customHeight="1">
      <c r="H2120" s="374" t="s">
        <v>1751</v>
      </c>
      <c r="K2120" s="283">
        <f>SUM(K2117:K2119)</f>
        <v>160</v>
      </c>
      <c r="W2120" s="744"/>
    </row>
    <row r="2121" spans="6:23" ht="24" customHeight="1">
      <c r="K2121" s="748" t="s">
        <v>1586</v>
      </c>
      <c r="W2121" s="744"/>
    </row>
    <row r="2122" spans="6:23" ht="24" customHeight="1">
      <c r="F2122" s="744" t="s">
        <v>1687</v>
      </c>
      <c r="G2122" s="283" t="s">
        <v>2251</v>
      </c>
      <c r="H2122" s="374" t="s">
        <v>51</v>
      </c>
      <c r="W2122" s="744"/>
    </row>
    <row r="2123" spans="6:23" ht="24" customHeight="1">
      <c r="H2123" s="374" t="s">
        <v>52</v>
      </c>
      <c r="W2123" s="744"/>
    </row>
    <row r="2124" spans="6:23" ht="24" customHeight="1">
      <c r="H2124" s="748" t="s">
        <v>1586</v>
      </c>
      <c r="W2124" s="744"/>
    </row>
    <row r="2125" spans="6:23" ht="24" customHeight="1">
      <c r="F2125" s="283">
        <v>50</v>
      </c>
      <c r="G2125" s="283" t="s">
        <v>868</v>
      </c>
      <c r="H2125" s="374" t="s">
        <v>790</v>
      </c>
      <c r="I2125" s="283">
        <f>C205</f>
        <v>63.4</v>
      </c>
      <c r="J2125" s="374" t="s">
        <v>868</v>
      </c>
      <c r="K2125" s="283">
        <f t="shared" ref="K2125:K2134" si="244">(F2125*I2125)</f>
        <v>3170</v>
      </c>
      <c r="W2125" s="744"/>
    </row>
    <row r="2126" spans="6:23" ht="24" customHeight="1">
      <c r="F2126" s="283">
        <v>21.6</v>
      </c>
      <c r="G2126" s="283" t="s">
        <v>869</v>
      </c>
      <c r="H2126" s="374" t="s">
        <v>791</v>
      </c>
      <c r="I2126" s="283">
        <f>(C62*2)</f>
        <v>224.1</v>
      </c>
      <c r="J2126" s="374" t="s">
        <v>869</v>
      </c>
      <c r="K2126" s="283">
        <f t="shared" si="244"/>
        <v>4840.5600000000004</v>
      </c>
      <c r="W2126" s="744"/>
    </row>
    <row r="2127" spans="6:23" ht="59.25" customHeight="1">
      <c r="F2127" s="283">
        <v>21.6</v>
      </c>
      <c r="G2127" s="283" t="s">
        <v>869</v>
      </c>
      <c r="H2127" s="374" t="s">
        <v>251</v>
      </c>
      <c r="I2127" s="283">
        <f>(C26)</f>
        <v>38.950000000000003</v>
      </c>
      <c r="J2127" s="374" t="s">
        <v>869</v>
      </c>
      <c r="K2127" s="283">
        <f t="shared" si="244"/>
        <v>841.32</v>
      </c>
      <c r="W2127" s="744"/>
    </row>
    <row r="2128" spans="6:23" ht="24" customHeight="1">
      <c r="F2128" s="283">
        <v>45</v>
      </c>
      <c r="G2128" s="283" t="s">
        <v>1645</v>
      </c>
      <c r="H2128" s="374" t="s">
        <v>862</v>
      </c>
      <c r="I2128" s="283">
        <f>(C68/1000)</f>
        <v>6.04</v>
      </c>
      <c r="J2128" s="374" t="s">
        <v>1645</v>
      </c>
      <c r="K2128" s="283">
        <f t="shared" si="244"/>
        <v>271.8</v>
      </c>
      <c r="W2128" s="744"/>
    </row>
    <row r="2129" spans="6:23" ht="24" customHeight="1">
      <c r="F2129" s="283">
        <v>0.04</v>
      </c>
      <c r="G2129" s="283" t="s">
        <v>869</v>
      </c>
      <c r="H2129" s="374" t="s">
        <v>870</v>
      </c>
      <c r="I2129" s="283">
        <f>(C79)</f>
        <v>2074.06</v>
      </c>
      <c r="J2129" s="374" t="s">
        <v>869</v>
      </c>
      <c r="K2129" s="283">
        <f t="shared" si="244"/>
        <v>82.96</v>
      </c>
      <c r="W2129" s="744"/>
    </row>
    <row r="2130" spans="6:23" ht="24" customHeight="1">
      <c r="F2130" s="283">
        <v>3.63</v>
      </c>
      <c r="G2130" s="283" t="s">
        <v>1645</v>
      </c>
      <c r="H2130" s="374" t="s">
        <v>792</v>
      </c>
      <c r="I2130" s="283">
        <f>(C608)</f>
        <v>11.8</v>
      </c>
      <c r="J2130" s="374" t="s">
        <v>1645</v>
      </c>
      <c r="K2130" s="283">
        <f t="shared" si="244"/>
        <v>42.83</v>
      </c>
      <c r="W2130" s="744"/>
    </row>
    <row r="2131" spans="6:23" ht="24" customHeight="1">
      <c r="F2131" s="283">
        <v>2</v>
      </c>
      <c r="G2131" s="283" t="s">
        <v>868</v>
      </c>
      <c r="H2131" s="374" t="s">
        <v>2009</v>
      </c>
      <c r="I2131" s="283">
        <f>(C10)</f>
        <v>999</v>
      </c>
      <c r="J2131" s="374" t="s">
        <v>868</v>
      </c>
      <c r="K2131" s="283">
        <f t="shared" si="244"/>
        <v>1998</v>
      </c>
      <c r="W2131" s="744"/>
    </row>
    <row r="2132" spans="6:23" ht="24" customHeight="1">
      <c r="F2132" s="283">
        <v>1</v>
      </c>
      <c r="G2132" s="283" t="s">
        <v>868</v>
      </c>
      <c r="H2132" s="374" t="s">
        <v>793</v>
      </c>
      <c r="I2132" s="283">
        <f>AE37</f>
        <v>839</v>
      </c>
      <c r="J2132" s="374" t="s">
        <v>868</v>
      </c>
      <c r="K2132" s="283">
        <f t="shared" si="244"/>
        <v>839</v>
      </c>
      <c r="W2132" s="744"/>
    </row>
    <row r="2133" spans="6:23" ht="24" customHeight="1">
      <c r="F2133" s="283">
        <v>5</v>
      </c>
      <c r="G2133" s="283" t="s">
        <v>868</v>
      </c>
      <c r="H2133" s="374" t="s">
        <v>1902</v>
      </c>
      <c r="I2133" s="283">
        <f>(C12)</f>
        <v>651</v>
      </c>
      <c r="J2133" s="374" t="s">
        <v>868</v>
      </c>
      <c r="K2133" s="283">
        <f t="shared" si="244"/>
        <v>3255</v>
      </c>
      <c r="W2133" s="744"/>
    </row>
    <row r="2134" spans="6:23" ht="24" customHeight="1">
      <c r="F2134" s="283">
        <v>2</v>
      </c>
      <c r="G2134" s="283" t="s">
        <v>868</v>
      </c>
      <c r="H2134" s="374" t="s">
        <v>320</v>
      </c>
      <c r="I2134" s="283">
        <f>(C13)</f>
        <v>534</v>
      </c>
      <c r="J2134" s="374" t="s">
        <v>868</v>
      </c>
      <c r="K2134" s="283">
        <f t="shared" si="244"/>
        <v>1068</v>
      </c>
      <c r="W2134" s="744"/>
    </row>
    <row r="2135" spans="6:23" ht="24" customHeight="1">
      <c r="G2135" s="283" t="s">
        <v>449</v>
      </c>
      <c r="H2135" s="374" t="s">
        <v>2136</v>
      </c>
      <c r="J2135" s="374" t="s">
        <v>449</v>
      </c>
      <c r="K2135" s="283">
        <f>SUM(K2131:K2134)/10+7.5</f>
        <v>723.5</v>
      </c>
      <c r="W2135" s="744"/>
    </row>
    <row r="2136" spans="6:23" ht="24" customHeight="1">
      <c r="K2136" s="748" t="s">
        <v>1586</v>
      </c>
      <c r="W2136" s="744"/>
    </row>
    <row r="2137" spans="6:23" ht="24" customHeight="1">
      <c r="H2137" s="374" t="s">
        <v>2137</v>
      </c>
      <c r="K2137" s="283">
        <f>SUM(K2125:K2135)</f>
        <v>17132.97</v>
      </c>
      <c r="W2137" s="744"/>
    </row>
    <row r="2138" spans="6:23" ht="24" customHeight="1">
      <c r="K2138" s="748" t="s">
        <v>1586</v>
      </c>
      <c r="W2138" s="744"/>
    </row>
    <row r="2139" spans="6:23" ht="24" customHeight="1">
      <c r="H2139" s="374" t="s">
        <v>1123</v>
      </c>
      <c r="K2139" s="283">
        <f>(K2137/30)</f>
        <v>571.1</v>
      </c>
      <c r="W2139" s="744"/>
    </row>
    <row r="2140" spans="6:23" ht="24" customHeight="1">
      <c r="K2140" s="748" t="s">
        <v>2055</v>
      </c>
      <c r="W2140" s="744"/>
    </row>
    <row r="2141" spans="6:23" ht="24" customHeight="1">
      <c r="W2141" s="744"/>
    </row>
    <row r="2142" spans="6:23" ht="24" customHeight="1">
      <c r="F2142" s="744" t="s">
        <v>1124</v>
      </c>
      <c r="G2142" s="283" t="s">
        <v>2251</v>
      </c>
      <c r="H2142" s="374" t="s">
        <v>1019</v>
      </c>
      <c r="W2142" s="744"/>
    </row>
    <row r="2143" spans="6:23" ht="24" customHeight="1">
      <c r="H2143" s="374" t="s">
        <v>52</v>
      </c>
      <c r="W2143" s="744"/>
    </row>
    <row r="2144" spans="6:23" ht="24" customHeight="1">
      <c r="H2144" s="748" t="s">
        <v>1586</v>
      </c>
      <c r="W2144" s="744"/>
    </row>
    <row r="2145" spans="6:23" ht="24" customHeight="1">
      <c r="F2145" s="283">
        <v>50</v>
      </c>
      <c r="G2145" s="283" t="s">
        <v>868</v>
      </c>
      <c r="H2145" s="374" t="s">
        <v>568</v>
      </c>
      <c r="I2145" s="283">
        <f>C206</f>
        <v>102</v>
      </c>
      <c r="J2145" s="374" t="s">
        <v>868</v>
      </c>
      <c r="K2145" s="283">
        <f t="shared" ref="K2145:K2154" si="245">(F2145*I2145)</f>
        <v>5100</v>
      </c>
      <c r="W2145" s="744"/>
    </row>
    <row r="2146" spans="6:23" ht="24" customHeight="1">
      <c r="F2146" s="283">
        <v>21.6</v>
      </c>
      <c r="G2146" s="283" t="s">
        <v>869</v>
      </c>
      <c r="H2146" s="374" t="s">
        <v>791</v>
      </c>
      <c r="I2146" s="283">
        <f>(C62*2)</f>
        <v>224.1</v>
      </c>
      <c r="J2146" s="374" t="s">
        <v>869</v>
      </c>
      <c r="K2146" s="283">
        <f t="shared" si="245"/>
        <v>4840.5600000000004</v>
      </c>
      <c r="W2146" s="744"/>
    </row>
    <row r="2147" spans="6:23" ht="24" customHeight="1">
      <c r="F2147" s="283">
        <v>21.6</v>
      </c>
      <c r="G2147" s="283" t="s">
        <v>869</v>
      </c>
      <c r="H2147" s="374" t="s">
        <v>251</v>
      </c>
      <c r="I2147" s="283">
        <f>(C26)</f>
        <v>38.950000000000003</v>
      </c>
      <c r="J2147" s="374" t="s">
        <v>869</v>
      </c>
      <c r="K2147" s="283">
        <f t="shared" si="245"/>
        <v>841.32</v>
      </c>
      <c r="W2147" s="744"/>
    </row>
    <row r="2148" spans="6:23" ht="24" customHeight="1">
      <c r="F2148" s="283">
        <v>68</v>
      </c>
      <c r="G2148" s="283" t="s">
        <v>1645</v>
      </c>
      <c r="H2148" s="374" t="s">
        <v>862</v>
      </c>
      <c r="I2148" s="283">
        <f>(C68/1000)</f>
        <v>6.04</v>
      </c>
      <c r="J2148" s="374" t="s">
        <v>1645</v>
      </c>
      <c r="K2148" s="283">
        <f t="shared" si="245"/>
        <v>410.72</v>
      </c>
      <c r="W2148" s="744"/>
    </row>
    <row r="2149" spans="6:23" ht="24" customHeight="1">
      <c r="F2149" s="283">
        <v>7.0000000000000007E-2</v>
      </c>
      <c r="G2149" s="283" t="s">
        <v>869</v>
      </c>
      <c r="H2149" s="374" t="s">
        <v>870</v>
      </c>
      <c r="I2149" s="283">
        <f>(C79)</f>
        <v>2074.06</v>
      </c>
      <c r="J2149" s="374" t="s">
        <v>869</v>
      </c>
      <c r="K2149" s="283">
        <f t="shared" si="245"/>
        <v>145.18</v>
      </c>
      <c r="M2149" s="744" t="s">
        <v>1124</v>
      </c>
      <c r="N2149" s="283" t="s">
        <v>2251</v>
      </c>
      <c r="O2149" s="374" t="s">
        <v>739</v>
      </c>
      <c r="Q2149" s="374"/>
      <c r="W2149" s="744"/>
    </row>
    <row r="2150" spans="6:23" ht="24" customHeight="1">
      <c r="F2150" s="283">
        <v>5.45</v>
      </c>
      <c r="G2150" s="283" t="s">
        <v>1645</v>
      </c>
      <c r="H2150" s="374" t="s">
        <v>792</v>
      </c>
      <c r="I2150" s="283">
        <f>(C608)</f>
        <v>11.8</v>
      </c>
      <c r="J2150" s="374" t="s">
        <v>1645</v>
      </c>
      <c r="K2150" s="283">
        <f t="shared" si="245"/>
        <v>64.31</v>
      </c>
      <c r="O2150" s="374" t="s">
        <v>52</v>
      </c>
      <c r="Q2150" s="374"/>
      <c r="W2150" s="744"/>
    </row>
    <row r="2151" spans="6:23" ht="24" customHeight="1">
      <c r="F2151" s="283">
        <v>3</v>
      </c>
      <c r="G2151" s="283" t="s">
        <v>868</v>
      </c>
      <c r="H2151" s="374" t="s">
        <v>2009</v>
      </c>
      <c r="I2151" s="283">
        <f>(C10)</f>
        <v>999</v>
      </c>
      <c r="J2151" s="374" t="s">
        <v>868</v>
      </c>
      <c r="K2151" s="283">
        <f t="shared" si="245"/>
        <v>2997</v>
      </c>
      <c r="O2151" s="748" t="s">
        <v>1586</v>
      </c>
      <c r="Q2151" s="374"/>
      <c r="W2151" s="744"/>
    </row>
    <row r="2152" spans="6:23" ht="39" customHeight="1">
      <c r="F2152" s="283">
        <v>2</v>
      </c>
      <c r="G2152" s="283" t="s">
        <v>868</v>
      </c>
      <c r="H2152" s="374" t="s">
        <v>793</v>
      </c>
      <c r="I2152" s="283">
        <f>AE37</f>
        <v>839</v>
      </c>
      <c r="J2152" s="374" t="s">
        <v>868</v>
      </c>
      <c r="K2152" s="283">
        <f t="shared" si="245"/>
        <v>1678</v>
      </c>
      <c r="M2152" s="283">
        <v>50</v>
      </c>
      <c r="N2152" s="283" t="s">
        <v>868</v>
      </c>
      <c r="O2152" s="777" t="s">
        <v>6128</v>
      </c>
      <c r="P2152" s="283">
        <v>455</v>
      </c>
      <c r="Q2152" s="374" t="s">
        <v>868</v>
      </c>
      <c r="R2152" s="283">
        <f t="shared" ref="R2152:R2161" si="246">(M2152*P2152)</f>
        <v>22750</v>
      </c>
      <c r="W2152" s="744"/>
    </row>
    <row r="2153" spans="6:23" ht="24" customHeight="1">
      <c r="F2153" s="283">
        <v>6</v>
      </c>
      <c r="G2153" s="283" t="s">
        <v>868</v>
      </c>
      <c r="H2153" s="374" t="s">
        <v>1902</v>
      </c>
      <c r="I2153" s="283">
        <f>(C12)</f>
        <v>651</v>
      </c>
      <c r="J2153" s="374" t="s">
        <v>868</v>
      </c>
      <c r="K2153" s="283">
        <f t="shared" si="245"/>
        <v>3906</v>
      </c>
      <c r="M2153" s="283">
        <v>21.6</v>
      </c>
      <c r="N2153" s="283" t="s">
        <v>869</v>
      </c>
      <c r="O2153" s="374" t="s">
        <v>791</v>
      </c>
      <c r="P2153" s="283">
        <f>I2146</f>
        <v>224.1</v>
      </c>
      <c r="Q2153" s="374" t="s">
        <v>869</v>
      </c>
      <c r="R2153" s="283">
        <f t="shared" si="246"/>
        <v>4840.5600000000004</v>
      </c>
      <c r="W2153" s="744"/>
    </row>
    <row r="2154" spans="6:23" ht="24" customHeight="1">
      <c r="F2154" s="283">
        <v>3</v>
      </c>
      <c r="G2154" s="283" t="s">
        <v>868</v>
      </c>
      <c r="H2154" s="374" t="s">
        <v>320</v>
      </c>
      <c r="I2154" s="283">
        <f>(C13)</f>
        <v>534</v>
      </c>
      <c r="J2154" s="374" t="s">
        <v>868</v>
      </c>
      <c r="K2154" s="283">
        <f t="shared" si="245"/>
        <v>1602</v>
      </c>
      <c r="M2154" s="283">
        <v>21.6</v>
      </c>
      <c r="N2154" s="283" t="s">
        <v>869</v>
      </c>
      <c r="O2154" s="374" t="s">
        <v>251</v>
      </c>
      <c r="P2154" s="283">
        <f t="shared" ref="P2154:P2161" si="247">I2147</f>
        <v>38.950000000000003</v>
      </c>
      <c r="Q2154" s="374" t="s">
        <v>869</v>
      </c>
      <c r="R2154" s="283">
        <f t="shared" si="246"/>
        <v>841.32</v>
      </c>
      <c r="W2154" s="744"/>
    </row>
    <row r="2155" spans="6:23" ht="24" customHeight="1">
      <c r="G2155" s="283" t="s">
        <v>449</v>
      </c>
      <c r="H2155" s="374" t="s">
        <v>2136</v>
      </c>
      <c r="J2155" s="374" t="s">
        <v>449</v>
      </c>
      <c r="K2155" s="283">
        <f>SUM(K2151:K2154)/10+4.8</f>
        <v>1023.1</v>
      </c>
      <c r="M2155" s="283">
        <v>115</v>
      </c>
      <c r="N2155" s="283" t="s">
        <v>1645</v>
      </c>
      <c r="O2155" s="374" t="s">
        <v>862</v>
      </c>
      <c r="P2155" s="283">
        <f t="shared" si="247"/>
        <v>6.04</v>
      </c>
      <c r="Q2155" s="374" t="s">
        <v>1645</v>
      </c>
      <c r="R2155" s="283">
        <f t="shared" si="246"/>
        <v>694.6</v>
      </c>
      <c r="W2155" s="744"/>
    </row>
    <row r="2156" spans="6:23" ht="24" customHeight="1">
      <c r="K2156" s="748" t="s">
        <v>1586</v>
      </c>
      <c r="M2156" s="283">
        <v>0.11</v>
      </c>
      <c r="N2156" s="283" t="s">
        <v>869</v>
      </c>
      <c r="O2156" s="374" t="s">
        <v>870</v>
      </c>
      <c r="P2156" s="283">
        <f t="shared" si="247"/>
        <v>2074.06</v>
      </c>
      <c r="Q2156" s="374" t="s">
        <v>869</v>
      </c>
      <c r="R2156" s="283">
        <f t="shared" si="246"/>
        <v>228.15</v>
      </c>
      <c r="W2156" s="744"/>
    </row>
    <row r="2157" spans="6:23" ht="24" customHeight="1">
      <c r="H2157" s="374" t="s">
        <v>2137</v>
      </c>
      <c r="K2157" s="283">
        <f>SUM(K2145:K2155)</f>
        <v>22608.19</v>
      </c>
      <c r="M2157" s="283">
        <v>8.35</v>
      </c>
      <c r="N2157" s="283" t="s">
        <v>1645</v>
      </c>
      <c r="O2157" s="374" t="s">
        <v>792</v>
      </c>
      <c r="P2157" s="283">
        <f t="shared" si="247"/>
        <v>11.8</v>
      </c>
      <c r="Q2157" s="374" t="s">
        <v>1645</v>
      </c>
      <c r="R2157" s="283">
        <f t="shared" si="246"/>
        <v>98.53</v>
      </c>
      <c r="W2157" s="744"/>
    </row>
    <row r="2158" spans="6:23" ht="24" customHeight="1">
      <c r="K2158" s="748" t="s">
        <v>1586</v>
      </c>
      <c r="M2158" s="283">
        <v>5</v>
      </c>
      <c r="N2158" s="283" t="s">
        <v>868</v>
      </c>
      <c r="O2158" s="374" t="s">
        <v>2009</v>
      </c>
      <c r="P2158" s="283">
        <f t="shared" si="247"/>
        <v>999</v>
      </c>
      <c r="Q2158" s="374" t="s">
        <v>868</v>
      </c>
      <c r="R2158" s="283">
        <f t="shared" si="246"/>
        <v>4995</v>
      </c>
      <c r="W2158" s="744"/>
    </row>
    <row r="2159" spans="6:23" ht="24" customHeight="1">
      <c r="H2159" s="374" t="s">
        <v>1123</v>
      </c>
      <c r="K2159" s="283">
        <f>(K2157/30)</f>
        <v>753.61</v>
      </c>
      <c r="M2159" s="283">
        <v>3</v>
      </c>
      <c r="N2159" s="283" t="s">
        <v>868</v>
      </c>
      <c r="O2159" s="374" t="s">
        <v>793</v>
      </c>
      <c r="P2159" s="283">
        <f t="shared" si="247"/>
        <v>839</v>
      </c>
      <c r="Q2159" s="374" t="s">
        <v>868</v>
      </c>
      <c r="R2159" s="283">
        <f t="shared" si="246"/>
        <v>2517</v>
      </c>
      <c r="W2159" s="744"/>
    </row>
    <row r="2160" spans="6:23" ht="24" customHeight="1">
      <c r="K2160" s="748" t="s">
        <v>2055</v>
      </c>
      <c r="M2160" s="283">
        <v>7</v>
      </c>
      <c r="N2160" s="283" t="s">
        <v>868</v>
      </c>
      <c r="O2160" s="374" t="s">
        <v>1902</v>
      </c>
      <c r="P2160" s="283">
        <f t="shared" si="247"/>
        <v>651</v>
      </c>
      <c r="Q2160" s="374" t="s">
        <v>868</v>
      </c>
      <c r="R2160" s="283">
        <f t="shared" si="246"/>
        <v>4557</v>
      </c>
      <c r="W2160" s="744"/>
    </row>
    <row r="2161" spans="6:23" ht="24" customHeight="1">
      <c r="F2161" s="744" t="s">
        <v>569</v>
      </c>
      <c r="G2161" s="283" t="s">
        <v>2251</v>
      </c>
      <c r="H2161" s="374" t="s">
        <v>51</v>
      </c>
      <c r="M2161" s="283">
        <v>5</v>
      </c>
      <c r="N2161" s="283" t="s">
        <v>868</v>
      </c>
      <c r="O2161" s="374" t="s">
        <v>320</v>
      </c>
      <c r="P2161" s="283">
        <f t="shared" si="247"/>
        <v>534</v>
      </c>
      <c r="Q2161" s="374" t="s">
        <v>868</v>
      </c>
      <c r="R2161" s="283">
        <f t="shared" si="246"/>
        <v>2670</v>
      </c>
      <c r="W2161" s="744"/>
    </row>
    <row r="2162" spans="6:23" ht="24" customHeight="1">
      <c r="H2162" s="374" t="s">
        <v>218</v>
      </c>
      <c r="N2162" s="283" t="s">
        <v>449</v>
      </c>
      <c r="O2162" s="374" t="s">
        <v>2136</v>
      </c>
      <c r="Q2162" s="374" t="s">
        <v>449</v>
      </c>
      <c r="R2162" s="283">
        <v>234</v>
      </c>
      <c r="W2162" s="744"/>
    </row>
    <row r="2163" spans="6:23" ht="24" customHeight="1">
      <c r="H2163" s="748" t="s">
        <v>1586</v>
      </c>
      <c r="Q2163" s="374"/>
      <c r="R2163" s="748" t="s">
        <v>1586</v>
      </c>
      <c r="W2163" s="744"/>
    </row>
    <row r="2164" spans="6:23" ht="24" customHeight="1">
      <c r="F2164" s="283">
        <v>50</v>
      </c>
      <c r="G2164" s="283" t="s">
        <v>868</v>
      </c>
      <c r="H2164" s="374" t="s">
        <v>219</v>
      </c>
      <c r="I2164" s="283">
        <f>C205</f>
        <v>63.4</v>
      </c>
      <c r="J2164" s="374" t="s">
        <v>868</v>
      </c>
      <c r="K2164" s="283">
        <f>(F2164*I2164)</f>
        <v>3170</v>
      </c>
      <c r="O2164" s="374" t="s">
        <v>2137</v>
      </c>
      <c r="Q2164" s="374"/>
      <c r="R2164" s="283">
        <f>SUM(R2152:R2162)</f>
        <v>44426.16</v>
      </c>
      <c r="W2164" s="744"/>
    </row>
    <row r="2165" spans="6:23" ht="24" customHeight="1">
      <c r="F2165" s="283">
        <v>1</v>
      </c>
      <c r="G2165" s="283" t="s">
        <v>868</v>
      </c>
      <c r="H2165" s="374" t="s">
        <v>793</v>
      </c>
      <c r="I2165" s="283">
        <f>AE37</f>
        <v>839</v>
      </c>
      <c r="J2165" s="374" t="s">
        <v>868</v>
      </c>
      <c r="K2165" s="283">
        <f>(F2165*I2165)</f>
        <v>839</v>
      </c>
      <c r="Q2165" s="374"/>
      <c r="R2165" s="748" t="s">
        <v>1586</v>
      </c>
      <c r="W2165" s="744"/>
    </row>
    <row r="2166" spans="6:23" ht="24" customHeight="1">
      <c r="F2166" s="283">
        <v>5</v>
      </c>
      <c r="G2166" s="283" t="s">
        <v>868</v>
      </c>
      <c r="H2166" s="374" t="s">
        <v>1902</v>
      </c>
      <c r="I2166" s="283">
        <f>C12</f>
        <v>651</v>
      </c>
      <c r="J2166" s="374" t="s">
        <v>868</v>
      </c>
      <c r="K2166" s="283">
        <f>(F2166*I2166)</f>
        <v>3255</v>
      </c>
      <c r="O2166" s="374" t="s">
        <v>1123</v>
      </c>
      <c r="Q2166" s="374"/>
      <c r="R2166" s="283">
        <f>(R2164/30)</f>
        <v>1480.87</v>
      </c>
      <c r="W2166" s="744"/>
    </row>
    <row r="2167" spans="6:23" ht="24" customHeight="1">
      <c r="H2167" s="374" t="s">
        <v>2271</v>
      </c>
      <c r="K2167" s="784">
        <v>1.8</v>
      </c>
      <c r="Q2167" s="374"/>
      <c r="R2167" s="748" t="s">
        <v>2055</v>
      </c>
      <c r="W2167" s="744"/>
    </row>
    <row r="2168" spans="6:23" ht="24" customHeight="1">
      <c r="H2168" s="374" t="s">
        <v>2137</v>
      </c>
      <c r="K2168" s="283">
        <f>SUM(K2164:K2167)</f>
        <v>7265.8</v>
      </c>
      <c r="W2168" s="744"/>
    </row>
    <row r="2169" spans="6:23" ht="24" customHeight="1">
      <c r="F2169" s="374" t="s">
        <v>975</v>
      </c>
      <c r="K2169" s="748" t="s">
        <v>1586</v>
      </c>
      <c r="W2169" s="744"/>
    </row>
    <row r="2170" spans="6:23" ht="24" customHeight="1">
      <c r="H2170" s="374" t="s">
        <v>1123</v>
      </c>
      <c r="K2170" s="283">
        <f>(K2168/30)</f>
        <v>242.19</v>
      </c>
      <c r="W2170" s="744"/>
    </row>
    <row r="2171" spans="6:23" ht="24" customHeight="1">
      <c r="F2171" s="374" t="s">
        <v>975</v>
      </c>
      <c r="W2171" s="744"/>
    </row>
    <row r="2172" spans="6:23" ht="24" customHeight="1">
      <c r="F2172" s="374" t="s">
        <v>975</v>
      </c>
      <c r="W2172" s="744"/>
    </row>
    <row r="2173" spans="6:23" ht="24" customHeight="1">
      <c r="K2173" s="748" t="s">
        <v>2055</v>
      </c>
      <c r="W2173" s="744"/>
    </row>
    <row r="2174" spans="6:23" ht="24" customHeight="1">
      <c r="F2174" s="744" t="s">
        <v>1124</v>
      </c>
      <c r="G2174" s="283" t="s">
        <v>2251</v>
      </c>
      <c r="H2174" s="374" t="s">
        <v>1019</v>
      </c>
      <c r="W2174" s="744"/>
    </row>
    <row r="2175" spans="6:23" ht="24" customHeight="1">
      <c r="H2175" s="283" t="str">
        <f>H2162</f>
        <v>DIA S.W.PIPE(LOOSE JOINTING)</v>
      </c>
      <c r="W2175" s="744"/>
    </row>
    <row r="2176" spans="6:23" ht="24" customHeight="1">
      <c r="H2176" s="748" t="s">
        <v>1586</v>
      </c>
      <c r="W2176" s="744"/>
    </row>
    <row r="2177" spans="6:23" ht="24" customHeight="1">
      <c r="F2177" s="283">
        <v>50</v>
      </c>
      <c r="G2177" s="283" t="s">
        <v>868</v>
      </c>
      <c r="H2177" s="374" t="s">
        <v>220</v>
      </c>
      <c r="I2177" s="283">
        <f>C206</f>
        <v>102</v>
      </c>
      <c r="J2177" s="374" t="s">
        <v>868</v>
      </c>
      <c r="K2177" s="283">
        <f>(F2177*I2177)</f>
        <v>5100</v>
      </c>
      <c r="W2177" s="744"/>
    </row>
    <row r="2178" spans="6:23" ht="24" customHeight="1">
      <c r="F2178" s="283">
        <v>2</v>
      </c>
      <c r="G2178" s="283" t="s">
        <v>868</v>
      </c>
      <c r="H2178" s="374" t="s">
        <v>793</v>
      </c>
      <c r="I2178" s="283">
        <f>AE37</f>
        <v>839</v>
      </c>
      <c r="J2178" s="374" t="s">
        <v>868</v>
      </c>
      <c r="K2178" s="283">
        <f>(F2178*I2178)</f>
        <v>1678</v>
      </c>
      <c r="W2178" s="744"/>
    </row>
    <row r="2179" spans="6:23" ht="24" customHeight="1">
      <c r="F2179" s="283">
        <v>6</v>
      </c>
      <c r="G2179" s="283" t="s">
        <v>868</v>
      </c>
      <c r="H2179" s="374" t="s">
        <v>1902</v>
      </c>
      <c r="I2179" s="283">
        <f>C12</f>
        <v>651</v>
      </c>
      <c r="J2179" s="374" t="s">
        <v>868</v>
      </c>
      <c r="K2179" s="283">
        <f>(F2179*I2179)</f>
        <v>3906</v>
      </c>
      <c r="W2179" s="744"/>
    </row>
    <row r="2180" spans="6:23" ht="24" customHeight="1">
      <c r="H2180" s="374" t="s">
        <v>2271</v>
      </c>
      <c r="K2180" s="784">
        <v>0.6</v>
      </c>
      <c r="W2180" s="744"/>
    </row>
    <row r="2181" spans="6:23" ht="24" customHeight="1">
      <c r="H2181" s="374" t="s">
        <v>2137</v>
      </c>
      <c r="K2181" s="283">
        <f>SUM(K2177:K2180)</f>
        <v>10684.6</v>
      </c>
      <c r="W2181" s="744"/>
    </row>
    <row r="2182" spans="6:23" ht="24" customHeight="1">
      <c r="K2182" s="748" t="s">
        <v>1586</v>
      </c>
      <c r="W2182" s="744"/>
    </row>
    <row r="2183" spans="6:23" ht="24" customHeight="1">
      <c r="H2183" s="374" t="s">
        <v>1123</v>
      </c>
      <c r="K2183" s="283">
        <f>(K2181/30)</f>
        <v>356.15</v>
      </c>
      <c r="W2183" s="744"/>
    </row>
    <row r="2184" spans="6:23" ht="24" customHeight="1">
      <c r="K2184" s="748" t="s">
        <v>2055</v>
      </c>
      <c r="W2184" s="744"/>
    </row>
    <row r="2185" spans="6:23" ht="24" customHeight="1">
      <c r="H2185" s="744" t="s">
        <v>221</v>
      </c>
      <c r="K2185" s="283">
        <f>SUM(K2182:K2183)</f>
        <v>356.15</v>
      </c>
      <c r="W2185" s="744"/>
    </row>
    <row r="2186" spans="6:23" ht="24" customHeight="1">
      <c r="K2186" s="748" t="s">
        <v>2055</v>
      </c>
      <c r="W2186" s="744"/>
    </row>
    <row r="2187" spans="6:23" ht="24" customHeight="1">
      <c r="F2187" s="744" t="s">
        <v>1869</v>
      </c>
      <c r="G2187" s="283" t="s">
        <v>2251</v>
      </c>
      <c r="H2187" s="374" t="s">
        <v>51</v>
      </c>
      <c r="W2187" s="744"/>
    </row>
    <row r="2188" spans="6:23" ht="24" customHeight="1">
      <c r="H2188" s="374" t="s">
        <v>56</v>
      </c>
      <c r="W2188" s="744"/>
    </row>
    <row r="2189" spans="6:23" ht="24" customHeight="1">
      <c r="H2189" s="748" t="s">
        <v>1586</v>
      </c>
      <c r="W2189" s="744"/>
    </row>
    <row r="2190" spans="6:23" ht="24" customHeight="1">
      <c r="F2190" s="283">
        <v>1</v>
      </c>
      <c r="G2190" s="283" t="s">
        <v>868</v>
      </c>
      <c r="H2190" s="374" t="s">
        <v>1089</v>
      </c>
      <c r="I2190" s="283">
        <f>C207</f>
        <v>101.6</v>
      </c>
      <c r="J2190" s="374" t="s">
        <v>868</v>
      </c>
      <c r="K2190" s="283">
        <f>(F2190*I2190)</f>
        <v>101.6</v>
      </c>
      <c r="W2190" s="744"/>
    </row>
    <row r="2191" spans="6:23" ht="24" customHeight="1">
      <c r="F2191" s="374" t="s">
        <v>975</v>
      </c>
      <c r="H2191" s="374" t="s">
        <v>57</v>
      </c>
      <c r="W2191" s="744"/>
    </row>
    <row r="2192" spans="6:23" ht="24" customHeight="1">
      <c r="F2192" s="374" t="s">
        <v>975</v>
      </c>
      <c r="H2192" s="374" t="s">
        <v>58</v>
      </c>
      <c r="I2192" s="744" t="s">
        <v>449</v>
      </c>
      <c r="K2192" s="283">
        <v>2.5</v>
      </c>
      <c r="W2192" s="744"/>
    </row>
    <row r="2193" spans="6:23" ht="24" customHeight="1">
      <c r="K2193" s="748" t="s">
        <v>1586</v>
      </c>
      <c r="W2193" s="744"/>
    </row>
    <row r="2194" spans="6:23" ht="24" customHeight="1">
      <c r="H2194" s="374" t="s">
        <v>2137</v>
      </c>
      <c r="K2194" s="283">
        <f>SUM(K2190:K2192)</f>
        <v>104.1</v>
      </c>
      <c r="W2194" s="744"/>
    </row>
    <row r="2195" spans="6:23" ht="24" customHeight="1">
      <c r="F2195" s="744" t="s">
        <v>1869</v>
      </c>
      <c r="G2195" s="283" t="s">
        <v>2251</v>
      </c>
      <c r="H2195" s="374" t="s">
        <v>1019</v>
      </c>
      <c r="K2195" s="748" t="s">
        <v>1586</v>
      </c>
      <c r="W2195" s="744"/>
    </row>
    <row r="2196" spans="6:23" ht="24" customHeight="1">
      <c r="H2196" s="374" t="s">
        <v>56</v>
      </c>
      <c r="W2196" s="744"/>
    </row>
    <row r="2197" spans="6:23" ht="24" customHeight="1">
      <c r="H2197" s="748" t="s">
        <v>1586</v>
      </c>
      <c r="K2197" s="748" t="s">
        <v>1586</v>
      </c>
      <c r="W2197" s="744"/>
    </row>
    <row r="2198" spans="6:23" ht="24" customHeight="1">
      <c r="F2198" s="283">
        <v>1</v>
      </c>
      <c r="G2198" s="283" t="s">
        <v>769</v>
      </c>
      <c r="H2198" s="374" t="s">
        <v>1088</v>
      </c>
      <c r="J2198" s="374">
        <f>E207</f>
        <v>140.65</v>
      </c>
      <c r="K2198" s="283">
        <f>J2198</f>
        <v>140.65</v>
      </c>
      <c r="W2198" s="744"/>
    </row>
    <row r="2199" spans="6:23" ht="24" customHeight="1">
      <c r="H2199" s="374" t="s">
        <v>58</v>
      </c>
      <c r="I2199" s="744" t="s">
        <v>449</v>
      </c>
      <c r="K2199" s="283">
        <v>2.5</v>
      </c>
      <c r="W2199" s="744"/>
    </row>
    <row r="2200" spans="6:23" ht="24" customHeight="1">
      <c r="F2200" s="744" t="s">
        <v>1264</v>
      </c>
      <c r="G2200" s="283" t="s">
        <v>2251</v>
      </c>
      <c r="H2200" s="745" t="s">
        <v>51</v>
      </c>
      <c r="K2200" s="748" t="s">
        <v>1586</v>
      </c>
      <c r="W2200" s="744"/>
    </row>
    <row r="2201" spans="6:23" ht="24" customHeight="1">
      <c r="H2201" s="745" t="s">
        <v>1271</v>
      </c>
      <c r="K2201" s="283">
        <f>SUM(K2197:K2199)</f>
        <v>143.15</v>
      </c>
      <c r="W2201" s="744"/>
    </row>
    <row r="2202" spans="6:23" ht="24" customHeight="1">
      <c r="H2202" s="748" t="s">
        <v>1586</v>
      </c>
      <c r="K2202" s="748" t="s">
        <v>1586</v>
      </c>
      <c r="W2202" s="744"/>
    </row>
    <row r="2203" spans="6:23" ht="24" customHeight="1">
      <c r="F2203" s="283">
        <v>1</v>
      </c>
      <c r="G2203" s="283" t="s">
        <v>868</v>
      </c>
      <c r="H2203" s="374" t="s">
        <v>1087</v>
      </c>
      <c r="I2203" s="283">
        <f>C204</f>
        <v>128</v>
      </c>
      <c r="J2203" s="374" t="s">
        <v>868</v>
      </c>
      <c r="K2203" s="283">
        <f>(F2203*I2203)</f>
        <v>128</v>
      </c>
      <c r="W2203" s="744"/>
    </row>
    <row r="2204" spans="6:23" ht="24" customHeight="1">
      <c r="F2204" s="374" t="s">
        <v>975</v>
      </c>
      <c r="H2204" s="374" t="s">
        <v>57</v>
      </c>
      <c r="W2204" s="744"/>
    </row>
    <row r="2205" spans="6:23" ht="24" customHeight="1">
      <c r="F2205" s="374" t="s">
        <v>975</v>
      </c>
      <c r="H2205" s="374" t="s">
        <v>58</v>
      </c>
      <c r="I2205" s="744" t="s">
        <v>449</v>
      </c>
      <c r="K2205" s="283">
        <v>3</v>
      </c>
      <c r="W2205" s="744"/>
    </row>
    <row r="2206" spans="6:23" ht="24" customHeight="1">
      <c r="K2206" s="748" t="s">
        <v>1586</v>
      </c>
      <c r="W2206" s="744"/>
    </row>
    <row r="2207" spans="6:23" ht="24" customHeight="1">
      <c r="H2207" s="374" t="s">
        <v>2137</v>
      </c>
      <c r="K2207" s="283">
        <f>SUM(K2203:K2205)</f>
        <v>131</v>
      </c>
      <c r="W2207" s="744"/>
    </row>
    <row r="2208" spans="6:23" ht="24" customHeight="1">
      <c r="K2208" s="748" t="s">
        <v>1586</v>
      </c>
      <c r="W2208" s="744"/>
    </row>
    <row r="2209" spans="6:23" ht="24" customHeight="1">
      <c r="W2209" s="744"/>
    </row>
    <row r="2210" spans="6:23" ht="24" customHeight="1">
      <c r="F2210" s="744" t="s">
        <v>1804</v>
      </c>
      <c r="G2210" s="283" t="s">
        <v>2251</v>
      </c>
      <c r="H2210" s="745" t="s">
        <v>1019</v>
      </c>
      <c r="W2210" s="744"/>
    </row>
    <row r="2211" spans="6:23" ht="24" customHeight="1">
      <c r="H2211" s="745" t="s">
        <v>1271</v>
      </c>
      <c r="W2211" s="744"/>
    </row>
    <row r="2212" spans="6:23" ht="24" customHeight="1">
      <c r="H2212" s="748" t="s">
        <v>1586</v>
      </c>
      <c r="W2212" s="744"/>
    </row>
    <row r="2213" spans="6:23" ht="24" customHeight="1">
      <c r="F2213" s="283">
        <v>1</v>
      </c>
      <c r="G2213" s="283" t="s">
        <v>868</v>
      </c>
      <c r="H2213" s="374" t="s">
        <v>805</v>
      </c>
      <c r="I2213" s="283">
        <f>C209</f>
        <v>166.15</v>
      </c>
      <c r="J2213" s="374" t="s">
        <v>868</v>
      </c>
      <c r="K2213" s="283">
        <f>(F2213*I2213)</f>
        <v>166.15</v>
      </c>
      <c r="W2213" s="744"/>
    </row>
    <row r="2214" spans="6:23" ht="24" customHeight="1">
      <c r="F2214" s="374" t="s">
        <v>975</v>
      </c>
      <c r="H2214" s="374" t="s">
        <v>57</v>
      </c>
      <c r="W2214" s="744"/>
    </row>
    <row r="2215" spans="6:23" ht="24" customHeight="1">
      <c r="F2215" s="374" t="s">
        <v>975</v>
      </c>
      <c r="H2215" s="374" t="s">
        <v>58</v>
      </c>
      <c r="I2215" s="744" t="s">
        <v>449</v>
      </c>
      <c r="K2215" s="283">
        <v>3</v>
      </c>
      <c r="W2215" s="744"/>
    </row>
    <row r="2216" spans="6:23" ht="24" customHeight="1">
      <c r="K2216" s="748" t="s">
        <v>1586</v>
      </c>
      <c r="W2216" s="744"/>
    </row>
    <row r="2217" spans="6:23" ht="24" customHeight="1">
      <c r="H2217" s="745" t="s">
        <v>2137</v>
      </c>
      <c r="K2217" s="283">
        <f>SUM(K2213:K2215)</f>
        <v>169.15</v>
      </c>
      <c r="W2217" s="744"/>
    </row>
    <row r="2218" spans="6:23" ht="24" customHeight="1">
      <c r="K2218" s="748" t="s">
        <v>1586</v>
      </c>
      <c r="W2218" s="744"/>
    </row>
    <row r="2219" spans="6:23" ht="24" customHeight="1">
      <c r="F2219" s="744" t="s">
        <v>1540</v>
      </c>
      <c r="H2219" s="745" t="s">
        <v>1541</v>
      </c>
      <c r="W2219" s="744"/>
    </row>
    <row r="2220" spans="6:23" ht="24" customHeight="1">
      <c r="H2220" s="745" t="s">
        <v>1070</v>
      </c>
      <c r="W2220" s="744"/>
    </row>
    <row r="2221" spans="6:23" ht="24" customHeight="1">
      <c r="H2221" s="748" t="s">
        <v>1586</v>
      </c>
      <c r="W2221" s="744"/>
    </row>
    <row r="2222" spans="6:23" ht="24" customHeight="1">
      <c r="F2222" s="283">
        <v>2.5</v>
      </c>
      <c r="G2222" s="283" t="s">
        <v>1071</v>
      </c>
      <c r="H2222" s="374" t="s">
        <v>1541</v>
      </c>
      <c r="I2222" s="283">
        <f>C589</f>
        <v>30</v>
      </c>
      <c r="J2222" s="374">
        <v>2.5</v>
      </c>
      <c r="K2222" s="283">
        <f>(F2222*I2222)/F2222</f>
        <v>30</v>
      </c>
      <c r="L2222" s="283">
        <f>1394*1.62-K2253</f>
        <v>-1861.7</v>
      </c>
      <c r="W2222" s="744"/>
    </row>
    <row r="2223" spans="6:23" ht="24" customHeight="1">
      <c r="H2223" s="374" t="s">
        <v>1072</v>
      </c>
      <c r="J2223" s="374" t="s">
        <v>1071</v>
      </c>
      <c r="W2223" s="744"/>
    </row>
    <row r="2224" spans="6:23" ht="24" customHeight="1">
      <c r="G2224" s="283" t="s">
        <v>449</v>
      </c>
      <c r="H2224" s="374" t="s">
        <v>1073</v>
      </c>
      <c r="J2224" s="374" t="s">
        <v>449</v>
      </c>
      <c r="K2224" s="283">
        <v>1.87</v>
      </c>
      <c r="W2224" s="744"/>
    </row>
    <row r="2225" spans="6:23" ht="24" customHeight="1">
      <c r="K2225" s="748" t="s">
        <v>1586</v>
      </c>
      <c r="W2225" s="744"/>
    </row>
    <row r="2226" spans="6:23" ht="24" customHeight="1">
      <c r="H2226" s="757" t="s">
        <v>221</v>
      </c>
      <c r="K2226" s="751">
        <f>SUM(K2222:K2224)</f>
        <v>31.87</v>
      </c>
      <c r="W2226" s="744"/>
    </row>
    <row r="2227" spans="6:23" ht="24" customHeight="1">
      <c r="K2227" s="748" t="s">
        <v>2055</v>
      </c>
      <c r="W2227" s="744"/>
    </row>
    <row r="2228" spans="6:23" ht="24" customHeight="1">
      <c r="W2228" s="744"/>
    </row>
    <row r="2229" spans="6:23" ht="24" customHeight="1">
      <c r="F2229" s="744" t="s">
        <v>1074</v>
      </c>
      <c r="G2229" s="283" t="s">
        <v>2251</v>
      </c>
      <c r="H2229" s="374" t="s">
        <v>273</v>
      </c>
      <c r="W2229" s="744"/>
    </row>
    <row r="2230" spans="6:23" ht="24" customHeight="1">
      <c r="H2230" s="374" t="s">
        <v>62</v>
      </c>
      <c r="W2230" s="744"/>
    </row>
    <row r="2231" spans="6:23" ht="24" customHeight="1">
      <c r="H2231" s="374" t="s">
        <v>370</v>
      </c>
      <c r="W2231" s="744"/>
    </row>
    <row r="2232" spans="6:23" ht="24" customHeight="1">
      <c r="H2232" s="374" t="s">
        <v>351</v>
      </c>
      <c r="W2232" s="744"/>
    </row>
    <row r="2233" spans="6:23" ht="24" customHeight="1">
      <c r="H2233" s="374" t="s">
        <v>432</v>
      </c>
      <c r="W2233" s="744"/>
    </row>
    <row r="2234" spans="6:23" ht="24" customHeight="1">
      <c r="H2234" s="374" t="s">
        <v>1479</v>
      </c>
      <c r="W2234" s="744"/>
    </row>
    <row r="2235" spans="6:23" ht="24" customHeight="1">
      <c r="H2235" s="374" t="s">
        <v>1867</v>
      </c>
      <c r="W2235" s="744"/>
    </row>
    <row r="2236" spans="6:23" ht="24" customHeight="1">
      <c r="H2236" s="374" t="s">
        <v>2203</v>
      </c>
      <c r="W2236" s="744"/>
    </row>
    <row r="2237" spans="6:23" ht="24" customHeight="1">
      <c r="H2237" s="374" t="s">
        <v>566</v>
      </c>
      <c r="W2237" s="744"/>
    </row>
    <row r="2238" spans="6:23" ht="24" customHeight="1">
      <c r="H2238" s="374" t="s">
        <v>1275</v>
      </c>
      <c r="W2238" s="744"/>
    </row>
    <row r="2239" spans="6:23" ht="24" customHeight="1">
      <c r="H2239" s="374" t="s">
        <v>1276</v>
      </c>
      <c r="W2239" s="744"/>
    </row>
    <row r="2240" spans="6:23" ht="24" customHeight="1">
      <c r="H2240" s="374" t="s">
        <v>1277</v>
      </c>
      <c r="W2240" s="744"/>
    </row>
    <row r="2241" spans="6:23" ht="24" customHeight="1">
      <c r="H2241" s="748" t="s">
        <v>1586</v>
      </c>
      <c r="I2241" s="748" t="s">
        <v>1586</v>
      </c>
      <c r="W2241" s="744"/>
    </row>
    <row r="2242" spans="6:23" ht="24" customHeight="1">
      <c r="F2242" s="374" t="s">
        <v>975</v>
      </c>
      <c r="W2242" s="744"/>
    </row>
    <row r="2243" spans="6:23" ht="24" customHeight="1">
      <c r="F2243" s="783">
        <v>1.7399999999999999E-2</v>
      </c>
      <c r="G2243" s="283" t="s">
        <v>2151</v>
      </c>
      <c r="H2243" s="374" t="s">
        <v>1278</v>
      </c>
      <c r="I2243" s="283">
        <f>C87</f>
        <v>34300</v>
      </c>
      <c r="J2243" s="374" t="s">
        <v>2151</v>
      </c>
      <c r="K2243" s="283">
        <f t="shared" ref="K2243:K2250" si="248">F2243*I2243</f>
        <v>596.82000000000005</v>
      </c>
      <c r="W2243" s="744"/>
    </row>
    <row r="2244" spans="6:23" ht="24" customHeight="1">
      <c r="F2244" s="783">
        <v>2.93E-2</v>
      </c>
      <c r="G2244" s="283" t="s">
        <v>2151</v>
      </c>
      <c r="H2244" s="374" t="s">
        <v>1279</v>
      </c>
      <c r="I2244" s="283">
        <f>C88</f>
        <v>39400</v>
      </c>
      <c r="J2244" s="374" t="s">
        <v>2151</v>
      </c>
      <c r="K2244" s="283">
        <f t="shared" si="248"/>
        <v>1154.42</v>
      </c>
      <c r="W2244" s="744"/>
    </row>
    <row r="2245" spans="6:23" ht="24" customHeight="1">
      <c r="F2245" s="783">
        <v>1.093</v>
      </c>
      <c r="G2245" s="283" t="s">
        <v>2283</v>
      </c>
      <c r="H2245" s="374" t="s">
        <v>1280</v>
      </c>
      <c r="I2245" s="283">
        <f>C200</f>
        <v>379.9</v>
      </c>
      <c r="J2245" s="374" t="s">
        <v>2283</v>
      </c>
      <c r="K2245" s="283">
        <f t="shared" si="248"/>
        <v>415.23</v>
      </c>
      <c r="W2245" s="744"/>
    </row>
    <row r="2246" spans="6:23" ht="24" customHeight="1">
      <c r="F2246" s="283">
        <v>6</v>
      </c>
      <c r="G2246" s="283" t="s">
        <v>560</v>
      </c>
      <c r="H2246" s="374" t="s">
        <v>1145</v>
      </c>
      <c r="I2246" s="283">
        <f>C298</f>
        <v>7</v>
      </c>
      <c r="J2246" s="374" t="s">
        <v>1398</v>
      </c>
      <c r="K2246" s="283">
        <f t="shared" si="248"/>
        <v>42</v>
      </c>
      <c r="W2246" s="744"/>
    </row>
    <row r="2247" spans="6:23" ht="24" customHeight="1">
      <c r="F2247" s="283">
        <v>1</v>
      </c>
      <c r="G2247" s="283" t="s">
        <v>560</v>
      </c>
      <c r="H2247" s="374" t="s">
        <v>2217</v>
      </c>
      <c r="I2247" s="283">
        <f>C288</f>
        <v>101.6</v>
      </c>
      <c r="J2247" s="374" t="s">
        <v>1398</v>
      </c>
      <c r="K2247" s="283">
        <f t="shared" si="248"/>
        <v>101.6</v>
      </c>
      <c r="W2247" s="744"/>
    </row>
    <row r="2248" spans="6:23" ht="24" customHeight="1">
      <c r="F2248" s="283">
        <v>2</v>
      </c>
      <c r="G2248" s="283" t="s">
        <v>560</v>
      </c>
      <c r="H2248" s="374" t="s">
        <v>1749</v>
      </c>
      <c r="I2248" s="283">
        <f>C309</f>
        <v>3</v>
      </c>
      <c r="J2248" s="374" t="s">
        <v>1398</v>
      </c>
      <c r="K2248" s="283">
        <f t="shared" si="248"/>
        <v>6</v>
      </c>
      <c r="W2248" s="744"/>
    </row>
    <row r="2249" spans="6:23" ht="24" customHeight="1">
      <c r="F2249" s="283">
        <v>6</v>
      </c>
      <c r="G2249" s="283" t="s">
        <v>560</v>
      </c>
      <c r="H2249" s="374" t="s">
        <v>139</v>
      </c>
      <c r="I2249" s="283">
        <v>10.5</v>
      </c>
      <c r="J2249" s="374" t="s">
        <v>1398</v>
      </c>
      <c r="K2249" s="283">
        <f t="shared" si="248"/>
        <v>63</v>
      </c>
      <c r="W2249" s="744"/>
    </row>
    <row r="2250" spans="6:23" ht="24" customHeight="1">
      <c r="F2250" s="746">
        <v>1.62</v>
      </c>
      <c r="G2250" s="283" t="s">
        <v>2283</v>
      </c>
      <c r="H2250" s="374" t="s">
        <v>140</v>
      </c>
      <c r="I2250" s="283">
        <f>D33</f>
        <v>1072</v>
      </c>
      <c r="J2250" s="374" t="s">
        <v>2283</v>
      </c>
      <c r="K2250" s="283">
        <f t="shared" si="248"/>
        <v>1736.64</v>
      </c>
      <c r="W2250" s="744"/>
    </row>
    <row r="2251" spans="6:23" ht="24" customHeight="1">
      <c r="G2251" s="283" t="s">
        <v>449</v>
      </c>
      <c r="H2251" s="374" t="s">
        <v>509</v>
      </c>
      <c r="J2251" s="374" t="s">
        <v>449</v>
      </c>
      <c r="K2251" s="283">
        <v>4.2699999999999996</v>
      </c>
      <c r="W2251" s="744"/>
    </row>
    <row r="2252" spans="6:23" ht="24" customHeight="1">
      <c r="K2252" s="748" t="s">
        <v>1586</v>
      </c>
      <c r="W2252" s="744"/>
    </row>
    <row r="2253" spans="6:23" ht="24" customHeight="1">
      <c r="H2253" s="757" t="s">
        <v>141</v>
      </c>
      <c r="K2253" s="751">
        <f>SUM(K2243:K2251)</f>
        <v>4119.9799999999996</v>
      </c>
      <c r="W2253" s="744"/>
    </row>
    <row r="2254" spans="6:23" ht="24" customHeight="1">
      <c r="K2254" s="776" t="s">
        <v>1586</v>
      </c>
      <c r="W2254" s="744"/>
    </row>
    <row r="2255" spans="6:23" ht="24" customHeight="1">
      <c r="K2255" s="751"/>
      <c r="W2255" s="744"/>
    </row>
    <row r="2256" spans="6:23" ht="24" customHeight="1">
      <c r="H2256" s="757" t="s">
        <v>142</v>
      </c>
      <c r="I2256" s="374" t="s">
        <v>975</v>
      </c>
      <c r="K2256" s="751">
        <f>K2253/1.62</f>
        <v>2543.1999999999998</v>
      </c>
      <c r="M2256" s="283">
        <f>1921*1.62</f>
        <v>3112.02</v>
      </c>
      <c r="W2256" s="744"/>
    </row>
    <row r="2257" spans="6:23" ht="15" customHeight="1">
      <c r="F2257" s="374" t="s">
        <v>975</v>
      </c>
      <c r="G2257" s="283" t="s">
        <v>975</v>
      </c>
      <c r="H2257" s="374" t="s">
        <v>975</v>
      </c>
      <c r="I2257" s="374" t="s">
        <v>975</v>
      </c>
      <c r="J2257" s="374" t="s">
        <v>975</v>
      </c>
      <c r="M2257" s="283">
        <f>M2256-K2253</f>
        <v>-1007.96</v>
      </c>
      <c r="W2257" s="744"/>
    </row>
    <row r="2258" spans="6:23" ht="13.5" customHeight="1">
      <c r="W2258" s="744"/>
    </row>
    <row r="2259" spans="6:23" ht="24" customHeight="1">
      <c r="G2259" s="283" t="s">
        <v>1539</v>
      </c>
      <c r="H2259" s="745" t="s">
        <v>1393</v>
      </c>
      <c r="W2259" s="744"/>
    </row>
    <row r="2260" spans="6:23" ht="24" customHeight="1">
      <c r="H2260" s="374" t="s">
        <v>797</v>
      </c>
      <c r="L2260" s="283">
        <f>3.6*1.1</f>
        <v>3.96</v>
      </c>
      <c r="W2260" s="744"/>
    </row>
    <row r="2261" spans="6:23" ht="24" customHeight="1">
      <c r="F2261" s="374" t="s">
        <v>975</v>
      </c>
      <c r="H2261" s="374" t="s">
        <v>798</v>
      </c>
      <c r="L2261" s="283">
        <f>3.6*1.6</f>
        <v>5.76</v>
      </c>
      <c r="W2261" s="744"/>
    </row>
    <row r="2262" spans="6:23" ht="35.25" customHeight="1">
      <c r="F2262" s="744" t="s">
        <v>799</v>
      </c>
      <c r="H2262" s="374" t="s">
        <v>2178</v>
      </c>
      <c r="K2262" s="283">
        <f>Elec.Data!K29</f>
        <v>1692.1</v>
      </c>
      <c r="W2262" s="744"/>
    </row>
    <row r="2263" spans="6:23" ht="30.75" customHeight="1">
      <c r="F2263" s="744" t="s">
        <v>800</v>
      </c>
      <c r="H2263" s="744" t="s">
        <v>774</v>
      </c>
      <c r="K2263" s="283">
        <f>Elec.Data!K53</f>
        <v>1695.1</v>
      </c>
      <c r="W2263" s="744"/>
    </row>
    <row r="2264" spans="6:23" ht="30.75" customHeight="1">
      <c r="F2264" s="744" t="s">
        <v>801</v>
      </c>
      <c r="H2264" s="374" t="s">
        <v>1268</v>
      </c>
      <c r="K2264" s="283">
        <f>Elec.Data!K68</f>
        <v>1732.1</v>
      </c>
      <c r="W2264" s="744"/>
    </row>
    <row r="2265" spans="6:23" ht="30.75" customHeight="1">
      <c r="F2265" s="774">
        <v>65</v>
      </c>
      <c r="H2265" s="374" t="s">
        <v>776</v>
      </c>
      <c r="K2265" s="283">
        <f>Elec.Data!K90</f>
        <v>1767.1</v>
      </c>
      <c r="W2265" s="744"/>
    </row>
    <row r="2266" spans="6:23" ht="30.75" customHeight="1">
      <c r="F2266" s="774">
        <v>66</v>
      </c>
      <c r="H2266" s="374" t="s">
        <v>612</v>
      </c>
      <c r="K2266" s="283">
        <f>Elec.Data!K114</f>
        <v>3176.2</v>
      </c>
      <c r="W2266" s="744"/>
    </row>
    <row r="2267" spans="6:23" ht="30.75" customHeight="1">
      <c r="F2267" s="774">
        <v>67</v>
      </c>
      <c r="H2267" s="374" t="s">
        <v>570</v>
      </c>
      <c r="K2267" s="283">
        <f>Elec.Data!K146</f>
        <v>869.5</v>
      </c>
      <c r="W2267" s="744"/>
    </row>
    <row r="2268" spans="6:23" ht="30.75" customHeight="1">
      <c r="F2268" s="774">
        <v>68</v>
      </c>
      <c r="H2268" s="374" t="s">
        <v>838</v>
      </c>
      <c r="K2268" s="283">
        <f>Elec.Data!K134</f>
        <v>1174.4000000000001</v>
      </c>
      <c r="W2268" s="744"/>
    </row>
    <row r="2269" spans="6:23" ht="30.75" customHeight="1">
      <c r="F2269" s="774">
        <v>69</v>
      </c>
      <c r="H2269" s="374" t="s">
        <v>802</v>
      </c>
      <c r="K2269" s="283">
        <f>Elec.Data!K157</f>
        <v>150</v>
      </c>
      <c r="W2269" s="744"/>
    </row>
    <row r="2270" spans="6:23" ht="30.75" customHeight="1">
      <c r="F2270" s="774" t="s">
        <v>803</v>
      </c>
      <c r="H2270" s="374" t="s">
        <v>498</v>
      </c>
      <c r="K2270" s="283">
        <f>Elec.Data!K304</f>
        <v>529.20000000000005</v>
      </c>
      <c r="W2270" s="744"/>
    </row>
    <row r="2271" spans="6:23" ht="30.75" customHeight="1">
      <c r="F2271" s="774" t="s">
        <v>293</v>
      </c>
      <c r="H2271" s="374" t="s">
        <v>289</v>
      </c>
      <c r="J2271" s="744"/>
      <c r="L2271" s="283">
        <f>37.7*90</f>
        <v>3393</v>
      </c>
      <c r="W2271" s="744"/>
    </row>
    <row r="2272" spans="6:23" ht="30.75" customHeight="1">
      <c r="F2272" s="774" t="s">
        <v>1942</v>
      </c>
      <c r="H2272" s="374" t="s">
        <v>1502</v>
      </c>
      <c r="K2272" s="283">
        <v>9.4</v>
      </c>
      <c r="W2272" s="744"/>
    </row>
    <row r="2273" spans="6:23" ht="24" customHeight="1">
      <c r="F2273" s="774" t="s">
        <v>1943</v>
      </c>
      <c r="H2273" s="374" t="s">
        <v>582</v>
      </c>
      <c r="K2273" s="283">
        <v>10</v>
      </c>
      <c r="W2273" s="744"/>
    </row>
    <row r="2274" spans="6:23" ht="24" customHeight="1">
      <c r="F2274" s="774">
        <v>71</v>
      </c>
      <c r="H2274" s="374" t="s">
        <v>1156</v>
      </c>
      <c r="K2274" s="283">
        <f>Elec.Data!K342</f>
        <v>1372.85</v>
      </c>
      <c r="W2274" s="744"/>
    </row>
    <row r="2275" spans="6:23" ht="24" customHeight="1">
      <c r="F2275" s="774">
        <v>72</v>
      </c>
      <c r="H2275" s="374" t="s">
        <v>804</v>
      </c>
      <c r="K2275" s="283">
        <v>33.9</v>
      </c>
      <c r="W2275" s="744"/>
    </row>
    <row r="2276" spans="6:23" ht="24" customHeight="1">
      <c r="F2276" s="774" t="s">
        <v>583</v>
      </c>
      <c r="H2276" s="374" t="s">
        <v>275</v>
      </c>
      <c r="K2276" s="283">
        <f>Elec.Data!K402</f>
        <v>4248.34</v>
      </c>
      <c r="W2276" s="744"/>
    </row>
    <row r="2277" spans="6:23" ht="24" customHeight="1">
      <c r="F2277" s="774" t="s">
        <v>584</v>
      </c>
      <c r="H2277" s="374" t="s">
        <v>585</v>
      </c>
      <c r="K2277" s="283">
        <f>Elec.Data!K390</f>
        <v>3466.34</v>
      </c>
      <c r="W2277" s="744"/>
    </row>
    <row r="2278" spans="6:23" ht="24" customHeight="1">
      <c r="F2278" s="774">
        <v>74</v>
      </c>
      <c r="H2278" s="374" t="s">
        <v>162</v>
      </c>
      <c r="K2278" s="283">
        <f>Elec.Data!K446</f>
        <v>601.20000000000005</v>
      </c>
      <c r="W2278" s="744"/>
    </row>
    <row r="2279" spans="6:23" ht="24" customHeight="1">
      <c r="F2279" s="774" t="s">
        <v>632</v>
      </c>
      <c r="H2279" s="374" t="s">
        <v>1259</v>
      </c>
      <c r="K2279" s="283">
        <v>1265</v>
      </c>
      <c r="W2279" s="744"/>
    </row>
    <row r="2280" spans="6:23" ht="24" customHeight="1">
      <c r="F2280" s="774" t="s">
        <v>633</v>
      </c>
      <c r="H2280" s="374" t="s">
        <v>131</v>
      </c>
      <c r="W2280" s="744"/>
    </row>
    <row r="2281" spans="6:23" ht="24" customHeight="1">
      <c r="F2281" s="774">
        <v>112</v>
      </c>
      <c r="H2281" s="374" t="s">
        <v>746</v>
      </c>
      <c r="K2281" s="283">
        <f>Elec.Data!K913</f>
        <v>2363.25</v>
      </c>
      <c r="W2281" s="744"/>
    </row>
    <row r="2282" spans="6:23" ht="34.5" customHeight="1">
      <c r="F2282" s="774">
        <v>76</v>
      </c>
      <c r="H2282" s="374" t="s">
        <v>1931</v>
      </c>
      <c r="K2282" s="283">
        <f>Elec.Data!K463</f>
        <v>27.13</v>
      </c>
      <c r="W2282" s="744"/>
    </row>
    <row r="2283" spans="6:23" ht="31.5" customHeight="1">
      <c r="F2283" s="774">
        <v>77</v>
      </c>
      <c r="H2283" s="374" t="s">
        <v>2268</v>
      </c>
      <c r="K2283" s="283">
        <f>'Print Data (2)'!F458</f>
        <v>214.9</v>
      </c>
      <c r="W2283" s="744"/>
    </row>
    <row r="2284" spans="6:23" ht="38.25" customHeight="1">
      <c r="F2284" s="778">
        <v>77.099999999999994</v>
      </c>
      <c r="H2284" s="777" t="s">
        <v>1807</v>
      </c>
      <c r="K2284" s="898">
        <f>Elec.Data!K274</f>
        <v>272.89999999999998</v>
      </c>
      <c r="W2284" s="744"/>
    </row>
    <row r="2285" spans="6:23" ht="24" customHeight="1">
      <c r="F2285" s="765">
        <v>77.2</v>
      </c>
      <c r="H2285" s="374" t="s">
        <v>1808</v>
      </c>
      <c r="K2285" s="283">
        <v>500</v>
      </c>
      <c r="W2285" s="744"/>
    </row>
    <row r="2286" spans="6:23" ht="24" customHeight="1">
      <c r="F2286" s="765">
        <v>77.3</v>
      </c>
      <c r="H2286" s="374" t="s">
        <v>1501</v>
      </c>
      <c r="K2286" s="283">
        <f>Elec.Data!K881</f>
        <v>77.010000000000005</v>
      </c>
      <c r="W2286" s="744"/>
    </row>
    <row r="2287" spans="6:23" ht="24" customHeight="1">
      <c r="F2287" s="774">
        <v>78</v>
      </c>
      <c r="H2287" s="374" t="s">
        <v>79</v>
      </c>
      <c r="K2287" s="283">
        <f>Elec.Data!K488</f>
        <v>2997.6</v>
      </c>
      <c r="W2287" s="744"/>
    </row>
    <row r="2288" spans="6:23" ht="24" customHeight="1">
      <c r="F2288" s="774">
        <v>80</v>
      </c>
      <c r="H2288" s="374" t="s">
        <v>2116</v>
      </c>
      <c r="K2288" s="283">
        <f>Elec.Data!K610</f>
        <v>846</v>
      </c>
      <c r="W2288" s="744"/>
    </row>
    <row r="2289" spans="6:23" ht="24" customHeight="1">
      <c r="F2289" s="774">
        <v>81</v>
      </c>
      <c r="H2289" s="374" t="s">
        <v>91</v>
      </c>
      <c r="K2289" s="283">
        <f>K2256</f>
        <v>2543.1999999999998</v>
      </c>
      <c r="W2289" s="744"/>
    </row>
    <row r="2290" spans="6:23" ht="24" customHeight="1">
      <c r="F2290" s="774">
        <v>82</v>
      </c>
      <c r="H2290" s="374" t="s">
        <v>1549</v>
      </c>
      <c r="K2290" s="283">
        <f>Elec.Data!K807</f>
        <v>3037.67</v>
      </c>
      <c r="W2290" s="744"/>
    </row>
    <row r="2291" spans="6:23" ht="24" customHeight="1">
      <c r="F2291" s="774">
        <v>87</v>
      </c>
      <c r="H2291" s="374" t="s">
        <v>1762</v>
      </c>
      <c r="K2291" s="283">
        <f>Elec.Data!K627</f>
        <v>2717.8</v>
      </c>
      <c r="W2291" s="744"/>
    </row>
    <row r="2292" spans="6:23" ht="24" customHeight="1">
      <c r="H2292" s="840" t="s">
        <v>1919</v>
      </c>
      <c r="K2292" s="283">
        <f>Elec.Data!K931</f>
        <v>2176.4</v>
      </c>
      <c r="W2292" s="744"/>
    </row>
    <row r="2293" spans="6:23" ht="24" customHeight="1">
      <c r="H2293" s="374" t="s">
        <v>263</v>
      </c>
      <c r="K2293" s="283">
        <v>137</v>
      </c>
      <c r="W2293" s="744"/>
    </row>
    <row r="2294" spans="6:23" ht="28.5" customHeight="1">
      <c r="F2294" s="794">
        <v>77.400000000000006</v>
      </c>
      <c r="H2294" s="841" t="s">
        <v>1722</v>
      </c>
      <c r="M2294" s="794">
        <v>77.400000000000006</v>
      </c>
      <c r="O2294" s="841" t="s">
        <v>4714</v>
      </c>
      <c r="Q2294" s="374"/>
      <c r="W2294" s="744"/>
    </row>
    <row r="2295" spans="6:23" ht="27" customHeight="1">
      <c r="H2295" s="374" t="s">
        <v>797</v>
      </c>
      <c r="O2295" s="374" t="s">
        <v>797</v>
      </c>
      <c r="Q2295" s="374"/>
      <c r="W2295" s="744"/>
    </row>
    <row r="2296" spans="6:23" ht="42.75" customHeight="1">
      <c r="F2296" s="283">
        <v>90</v>
      </c>
      <c r="G2296" s="283" t="s">
        <v>372</v>
      </c>
      <c r="H2296" s="786" t="s">
        <v>5327</v>
      </c>
      <c r="I2296" s="283">
        <v>20</v>
      </c>
      <c r="J2296" s="374" t="s">
        <v>372</v>
      </c>
      <c r="K2296" s="283">
        <f>I2296*F2296</f>
        <v>1800</v>
      </c>
      <c r="M2296" s="283">
        <v>90</v>
      </c>
      <c r="N2296" s="283" t="s">
        <v>372</v>
      </c>
      <c r="O2296" s="786" t="s">
        <v>4597</v>
      </c>
      <c r="P2296" s="283">
        <v>20</v>
      </c>
      <c r="Q2296" s="374" t="s">
        <v>372</v>
      </c>
      <c r="R2296" s="283">
        <f>P2296*M2296</f>
        <v>1800</v>
      </c>
      <c r="W2296" s="744"/>
    </row>
    <row r="2297" spans="6:23" ht="24" customHeight="1">
      <c r="F2297" s="283">
        <v>0.15</v>
      </c>
      <c r="G2297" s="283" t="s">
        <v>528</v>
      </c>
      <c r="H2297" s="283" t="s">
        <v>862</v>
      </c>
      <c r="I2297" s="283">
        <f>AC31</f>
        <v>6040</v>
      </c>
      <c r="J2297" s="374" t="s">
        <v>528</v>
      </c>
      <c r="K2297" s="283">
        <f>I2297*F2297</f>
        <v>906</v>
      </c>
      <c r="M2297" s="283">
        <v>0.15</v>
      </c>
      <c r="N2297" s="283" t="s">
        <v>528</v>
      </c>
      <c r="O2297" s="283" t="s">
        <v>862</v>
      </c>
      <c r="P2297" s="283">
        <f>I2297</f>
        <v>6040</v>
      </c>
      <c r="Q2297" s="374" t="s">
        <v>528</v>
      </c>
      <c r="R2297" s="283">
        <f>P2297*M2297</f>
        <v>906</v>
      </c>
      <c r="W2297" s="744"/>
    </row>
    <row r="2298" spans="6:23" ht="24" customHeight="1">
      <c r="F2298" s="283">
        <v>1</v>
      </c>
      <c r="G2298" s="283" t="s">
        <v>769</v>
      </c>
      <c r="H2298" s="283" t="s">
        <v>371</v>
      </c>
      <c r="I2298" s="283">
        <f>C810</f>
        <v>826</v>
      </c>
      <c r="J2298" s="374" t="s">
        <v>769</v>
      </c>
      <c r="K2298" s="283">
        <f>I2298*F2298</f>
        <v>826</v>
      </c>
      <c r="M2298" s="283">
        <v>1</v>
      </c>
      <c r="N2298" s="283" t="s">
        <v>769</v>
      </c>
      <c r="O2298" s="283" t="s">
        <v>371</v>
      </c>
      <c r="P2298" s="283">
        <f>I2298</f>
        <v>826</v>
      </c>
      <c r="Q2298" s="374" t="s">
        <v>769</v>
      </c>
      <c r="R2298" s="283">
        <f>P2298*M2298</f>
        <v>826</v>
      </c>
      <c r="W2298" s="744"/>
    </row>
    <row r="2299" spans="6:23" ht="24" customHeight="1">
      <c r="F2299" s="283">
        <v>2</v>
      </c>
      <c r="G2299" s="283" t="s">
        <v>769</v>
      </c>
      <c r="H2299" s="283" t="s">
        <v>1712</v>
      </c>
      <c r="I2299" s="283">
        <f>AE10</f>
        <v>932</v>
      </c>
      <c r="J2299" s="374" t="s">
        <v>769</v>
      </c>
      <c r="K2299" s="283">
        <f>I2299*F2299</f>
        <v>1864</v>
      </c>
      <c r="M2299" s="283">
        <v>2</v>
      </c>
      <c r="N2299" s="283" t="s">
        <v>769</v>
      </c>
      <c r="O2299" s="283" t="s">
        <v>1712</v>
      </c>
      <c r="P2299" s="283">
        <f>I2299</f>
        <v>932</v>
      </c>
      <c r="Q2299" s="374" t="s">
        <v>769</v>
      </c>
      <c r="R2299" s="283">
        <f>P2299*M2299</f>
        <v>1864</v>
      </c>
      <c r="W2299" s="744"/>
    </row>
    <row r="2300" spans="6:23" ht="24" customHeight="1">
      <c r="F2300" s="283">
        <v>4</v>
      </c>
      <c r="G2300" s="283" t="s">
        <v>769</v>
      </c>
      <c r="H2300" s="283" t="str">
        <f>B811</f>
        <v>Electrical HELPERp-15 it-100</v>
      </c>
      <c r="I2300" s="283">
        <f>C811</f>
        <v>644</v>
      </c>
      <c r="J2300" s="374" t="s">
        <v>769</v>
      </c>
      <c r="K2300" s="283">
        <f>I2300*F2300</f>
        <v>2576</v>
      </c>
      <c r="M2300" s="283">
        <v>4</v>
      </c>
      <c r="N2300" s="283" t="s">
        <v>769</v>
      </c>
      <c r="O2300" s="283" t="str">
        <f>H2300</f>
        <v>Electrical HELPERp-15 it-100</v>
      </c>
      <c r="P2300" s="283">
        <f>I2300</f>
        <v>644</v>
      </c>
      <c r="Q2300" s="374" t="s">
        <v>769</v>
      </c>
      <c r="R2300" s="283">
        <f>P2300*M2300</f>
        <v>2576</v>
      </c>
      <c r="W2300" s="744"/>
    </row>
    <row r="2301" spans="6:23" ht="24" customHeight="1">
      <c r="H2301" s="283" t="s">
        <v>373</v>
      </c>
      <c r="K2301" s="283">
        <v>11.5</v>
      </c>
      <c r="O2301" s="283" t="s">
        <v>373</v>
      </c>
      <c r="Q2301" s="374"/>
      <c r="R2301" s="283">
        <v>11.5</v>
      </c>
      <c r="W2301" s="744"/>
    </row>
    <row r="2302" spans="6:23" ht="24" customHeight="1">
      <c r="K2302" s="748" t="s">
        <v>1586</v>
      </c>
      <c r="Q2302" s="374"/>
      <c r="R2302" s="748" t="s">
        <v>1586</v>
      </c>
      <c r="W2302" s="744"/>
    </row>
    <row r="2303" spans="6:23" ht="36.75" customHeight="1">
      <c r="H2303" s="374" t="s">
        <v>2267</v>
      </c>
      <c r="K2303" s="283">
        <f>SUM(K2296:K2301)</f>
        <v>7983.5</v>
      </c>
      <c r="O2303" s="374" t="s">
        <v>2267</v>
      </c>
      <c r="Q2303" s="374"/>
      <c r="R2303" s="283">
        <f>SUM(R2296:R2301)</f>
        <v>7983.5</v>
      </c>
      <c r="W2303" s="744"/>
    </row>
    <row r="2304" spans="6:23" ht="24" customHeight="1">
      <c r="K2304" s="748" t="s">
        <v>1586</v>
      </c>
      <c r="Q2304" s="374"/>
      <c r="R2304" s="748" t="s">
        <v>1586</v>
      </c>
      <c r="W2304" s="744"/>
    </row>
    <row r="2305" spans="5:253" ht="24" customHeight="1">
      <c r="H2305" s="374" t="s">
        <v>1123</v>
      </c>
      <c r="K2305" s="283">
        <f>(K2303/90)</f>
        <v>88.71</v>
      </c>
      <c r="O2305" s="374" t="s">
        <v>1123</v>
      </c>
      <c r="Q2305" s="374"/>
      <c r="R2305" s="283">
        <f>(R2303/90)</f>
        <v>88.71</v>
      </c>
      <c r="W2305" s="744"/>
      <c r="AG2305" s="283">
        <v>0</v>
      </c>
    </row>
    <row r="2306" spans="5:253" ht="24" customHeight="1">
      <c r="K2306" s="748" t="s">
        <v>2055</v>
      </c>
      <c r="W2306" s="744"/>
      <c r="IS2306" s="283">
        <v>0</v>
      </c>
    </row>
    <row r="2307" spans="5:253" ht="24" customHeight="1">
      <c r="W2307" s="744"/>
    </row>
    <row r="2308" spans="5:253" ht="24" customHeight="1">
      <c r="F2308" s="765">
        <v>78.099999999999994</v>
      </c>
      <c r="H2308" s="745" t="s">
        <v>1560</v>
      </c>
      <c r="L2308" s="283">
        <f>31.5+85</f>
        <v>116.5</v>
      </c>
      <c r="W2308" s="744"/>
    </row>
    <row r="2309" spans="5:253" ht="24" customHeight="1">
      <c r="H2309" s="374" t="s">
        <v>797</v>
      </c>
      <c r="L2309" s="283">
        <f>L2308*10%</f>
        <v>11.65</v>
      </c>
      <c r="W2309" s="744"/>
    </row>
    <row r="2310" spans="5:253" ht="24" customHeight="1">
      <c r="F2310" s="283">
        <v>2.5</v>
      </c>
      <c r="G2310" s="283" t="s">
        <v>769</v>
      </c>
      <c r="H2310" s="283" t="s">
        <v>1561</v>
      </c>
      <c r="I2310" s="283">
        <f>C396</f>
        <v>163</v>
      </c>
      <c r="J2310" s="374" t="s">
        <v>769</v>
      </c>
      <c r="K2310" s="283">
        <f t="shared" ref="K2310:K2315" si="249">I2310*F2310</f>
        <v>407.5</v>
      </c>
      <c r="W2310" s="744"/>
    </row>
    <row r="2311" spans="5:253" ht="24" customHeight="1">
      <c r="F2311" s="283">
        <v>20</v>
      </c>
      <c r="G2311" s="283" t="s">
        <v>359</v>
      </c>
      <c r="H2311" s="281" t="s">
        <v>5873</v>
      </c>
      <c r="I2311" s="899">
        <v>5</v>
      </c>
      <c r="J2311" s="374" t="s">
        <v>359</v>
      </c>
      <c r="K2311" s="283">
        <f t="shared" si="249"/>
        <v>100</v>
      </c>
      <c r="W2311" s="744"/>
    </row>
    <row r="2312" spans="5:253" ht="24" customHeight="1">
      <c r="F2312" s="283">
        <v>9</v>
      </c>
      <c r="G2312" s="283" t="s">
        <v>359</v>
      </c>
      <c r="H2312" s="283" t="s">
        <v>5874</v>
      </c>
      <c r="I2312" s="283">
        <v>3.7</v>
      </c>
      <c r="J2312" s="374" t="s">
        <v>359</v>
      </c>
      <c r="K2312" s="283">
        <f t="shared" si="249"/>
        <v>33.299999999999997</v>
      </c>
      <c r="W2312" s="744"/>
    </row>
    <row r="2313" spans="5:253" ht="51.75" customHeight="1">
      <c r="F2313" s="283">
        <v>0.5</v>
      </c>
      <c r="G2313" s="283" t="s">
        <v>359</v>
      </c>
      <c r="H2313" s="283" t="s">
        <v>5875</v>
      </c>
      <c r="I2313" s="283">
        <v>101.5</v>
      </c>
      <c r="J2313" s="374" t="s">
        <v>359</v>
      </c>
      <c r="K2313" s="283">
        <f t="shared" si="249"/>
        <v>50.75</v>
      </c>
      <c r="W2313" s="744"/>
    </row>
    <row r="2314" spans="5:253" ht="36.75" customHeight="1">
      <c r="E2314" s="746">
        <f>25.2/5</f>
        <v>5.04</v>
      </c>
      <c r="F2314" s="283">
        <v>0.5</v>
      </c>
      <c r="G2314" s="283" t="s">
        <v>769</v>
      </c>
      <c r="H2314" s="283" t="s">
        <v>1284</v>
      </c>
      <c r="I2314" s="283">
        <f>I2298</f>
        <v>826</v>
      </c>
      <c r="J2314" s="374" t="s">
        <v>769</v>
      </c>
      <c r="K2314" s="283">
        <f t="shared" si="249"/>
        <v>413</v>
      </c>
      <c r="W2314" s="744"/>
    </row>
    <row r="2315" spans="5:253" ht="24" customHeight="1">
      <c r="F2315" s="283">
        <v>1</v>
      </c>
      <c r="G2315" s="283" t="s">
        <v>769</v>
      </c>
      <c r="H2315" s="283" t="s">
        <v>1285</v>
      </c>
      <c r="I2315" s="283">
        <f>I2300</f>
        <v>644</v>
      </c>
      <c r="J2315" s="374" t="s">
        <v>769</v>
      </c>
      <c r="K2315" s="283">
        <f t="shared" si="249"/>
        <v>644</v>
      </c>
      <c r="W2315" s="744"/>
    </row>
    <row r="2316" spans="5:253" ht="45.75" customHeight="1">
      <c r="G2316" s="283" t="s">
        <v>657</v>
      </c>
      <c r="H2316" s="770" t="s">
        <v>1286</v>
      </c>
      <c r="J2316" s="374" t="s">
        <v>657</v>
      </c>
      <c r="K2316" s="283">
        <v>200</v>
      </c>
      <c r="W2316" s="744"/>
    </row>
    <row r="2317" spans="5:253" ht="24" customHeight="1">
      <c r="G2317" s="283" t="s">
        <v>657</v>
      </c>
      <c r="H2317" s="283" t="s">
        <v>1210</v>
      </c>
      <c r="J2317" s="374" t="s">
        <v>657</v>
      </c>
      <c r="K2317" s="283">
        <v>8.32</v>
      </c>
      <c r="W2317" s="744"/>
    </row>
    <row r="2318" spans="5:253" ht="24" customHeight="1">
      <c r="K2318" s="748" t="s">
        <v>1586</v>
      </c>
      <c r="W2318" s="744"/>
    </row>
    <row r="2319" spans="5:253" ht="24" customHeight="1">
      <c r="H2319" s="283" t="s">
        <v>283</v>
      </c>
      <c r="K2319" s="283">
        <f>SUM(K2310:K2317)</f>
        <v>1856.87</v>
      </c>
      <c r="L2319" s="283">
        <f>K2353/3</f>
        <v>32.85</v>
      </c>
      <c r="W2319" s="744"/>
    </row>
    <row r="2320" spans="5:253" ht="27" customHeight="1">
      <c r="K2320" s="748" t="s">
        <v>1586</v>
      </c>
      <c r="W2320" s="744"/>
    </row>
    <row r="2321" spans="6:23" ht="45" customHeight="1">
      <c r="H2321" s="751" t="s">
        <v>2229</v>
      </c>
      <c r="W2321" s="744"/>
    </row>
    <row r="2322" spans="6:23" ht="24" customHeight="1">
      <c r="F2322" s="283">
        <v>0.7</v>
      </c>
      <c r="G2322" s="283" t="s">
        <v>769</v>
      </c>
      <c r="H2322" s="283" t="s">
        <v>653</v>
      </c>
      <c r="I2322" s="283">
        <f>C17</f>
        <v>881</v>
      </c>
      <c r="J2322" s="374" t="s">
        <v>1398</v>
      </c>
      <c r="K2322" s="283">
        <f>I2322*F2322</f>
        <v>616.70000000000005</v>
      </c>
      <c r="S2322" s="746">
        <f>R2360+R2361</f>
        <v>884</v>
      </c>
      <c r="W2322" s="744"/>
    </row>
    <row r="2323" spans="6:23" ht="24" customHeight="1">
      <c r="F2323" s="283">
        <v>0.5</v>
      </c>
      <c r="G2323" s="283" t="s">
        <v>769</v>
      </c>
      <c r="H2323" s="283" t="s">
        <v>654</v>
      </c>
      <c r="I2323" s="283">
        <f>C12</f>
        <v>651</v>
      </c>
      <c r="J2323" s="374" t="s">
        <v>1398</v>
      </c>
      <c r="K2323" s="283">
        <f>I2323*F2323</f>
        <v>325.5</v>
      </c>
      <c r="W2323" s="744"/>
    </row>
    <row r="2324" spans="6:23" ht="24" customHeight="1">
      <c r="H2324" s="283" t="s">
        <v>2230</v>
      </c>
      <c r="K2324" s="283">
        <f>SUM(K2322:K2323)</f>
        <v>942.2</v>
      </c>
      <c r="W2324" s="744"/>
    </row>
    <row r="2325" spans="6:23" ht="24" customHeight="1">
      <c r="H2325" s="283" t="s">
        <v>437</v>
      </c>
      <c r="K2325" s="751">
        <f>K2324/8.16</f>
        <v>115.47</v>
      </c>
      <c r="W2325" s="744"/>
    </row>
    <row r="2326" spans="6:23" ht="24" customHeight="1">
      <c r="W2326" s="744"/>
    </row>
    <row r="2327" spans="6:23" ht="24" customHeight="1">
      <c r="H2327" s="751" t="s">
        <v>1820</v>
      </c>
      <c r="W2327" s="744"/>
    </row>
    <row r="2328" spans="6:23" ht="24" customHeight="1">
      <c r="F2328" s="283">
        <v>2</v>
      </c>
      <c r="G2328" s="283" t="s">
        <v>913</v>
      </c>
      <c r="H2328" s="283" t="s">
        <v>5328</v>
      </c>
      <c r="I2328" s="283">
        <v>62.1</v>
      </c>
      <c r="J2328" s="374" t="s">
        <v>913</v>
      </c>
      <c r="K2328" s="283">
        <f>I2328*F2328</f>
        <v>124.2</v>
      </c>
      <c r="W2328" s="744"/>
    </row>
    <row r="2329" spans="6:23" ht="24" customHeight="1">
      <c r="F2329" s="283">
        <v>0.2</v>
      </c>
      <c r="G2329" s="283" t="s">
        <v>913</v>
      </c>
      <c r="H2329" s="283" t="s">
        <v>1821</v>
      </c>
      <c r="I2329" s="283">
        <f>C144/1000</f>
        <v>56.35</v>
      </c>
      <c r="J2329" s="374" t="s">
        <v>913</v>
      </c>
      <c r="K2329" s="283">
        <f>I2329*F2329</f>
        <v>11.27</v>
      </c>
      <c r="W2329" s="744"/>
    </row>
    <row r="2330" spans="6:23" ht="24" customHeight="1">
      <c r="F2330" s="283">
        <v>2</v>
      </c>
      <c r="G2330" s="283" t="s">
        <v>913</v>
      </c>
      <c r="H2330" s="283" t="s">
        <v>1822</v>
      </c>
      <c r="I2330" s="283">
        <f>K2325</f>
        <v>115.47</v>
      </c>
      <c r="J2330" s="374" t="s">
        <v>913</v>
      </c>
      <c r="K2330" s="283">
        <f>I2330*F2330</f>
        <v>230.94</v>
      </c>
      <c r="W2330" s="744"/>
    </row>
    <row r="2331" spans="6:23" ht="24" customHeight="1">
      <c r="H2331" s="283" t="s">
        <v>1823</v>
      </c>
      <c r="K2331" s="283">
        <f>SUM(K2328:K2330)</f>
        <v>366.41</v>
      </c>
      <c r="W2331" s="744"/>
    </row>
    <row r="2332" spans="6:23" ht="24" customHeight="1">
      <c r="H2332" s="283" t="s">
        <v>1824</v>
      </c>
      <c r="K2332" s="751">
        <f>K2331/10</f>
        <v>36.64</v>
      </c>
      <c r="W2332" s="744"/>
    </row>
    <row r="2333" spans="6:23" ht="24" customHeight="1">
      <c r="W2333" s="744"/>
    </row>
    <row r="2334" spans="6:23" ht="24" customHeight="1">
      <c r="H2334" s="751" t="s">
        <v>991</v>
      </c>
      <c r="O2334" s="751" t="s">
        <v>921</v>
      </c>
      <c r="Q2334" s="374"/>
      <c r="W2334" s="744"/>
    </row>
    <row r="2335" spans="6:23" ht="24" customHeight="1">
      <c r="F2335" s="283">
        <v>0.25</v>
      </c>
      <c r="G2335" s="283" t="s">
        <v>560</v>
      </c>
      <c r="H2335" s="283" t="s">
        <v>1825</v>
      </c>
      <c r="I2335" s="283">
        <f>C11</f>
        <v>932</v>
      </c>
      <c r="J2335" s="374" t="s">
        <v>1398</v>
      </c>
      <c r="K2335" s="283">
        <f>I2335*F2335</f>
        <v>233</v>
      </c>
      <c r="M2335" s="283">
        <v>15</v>
      </c>
      <c r="N2335" s="283" t="s">
        <v>233</v>
      </c>
      <c r="O2335" s="283" t="s">
        <v>5876</v>
      </c>
      <c r="P2335" s="283">
        <v>160.25</v>
      </c>
      <c r="Q2335" s="374" t="s">
        <v>233</v>
      </c>
      <c r="R2335" s="283">
        <f>P2335*M2335</f>
        <v>2403.75</v>
      </c>
      <c r="W2335" s="744"/>
    </row>
    <row r="2336" spans="6:23" ht="24" customHeight="1">
      <c r="F2336" s="283">
        <v>1</v>
      </c>
      <c r="G2336" s="283" t="s">
        <v>560</v>
      </c>
      <c r="H2336" s="283" t="s">
        <v>654</v>
      </c>
      <c r="I2336" s="283">
        <f>C12</f>
        <v>651</v>
      </c>
      <c r="J2336" s="374" t="s">
        <v>1398</v>
      </c>
      <c r="K2336" s="283">
        <f>I2336*F2336</f>
        <v>651</v>
      </c>
      <c r="M2336" s="283">
        <v>0.5</v>
      </c>
      <c r="N2336" s="283" t="s">
        <v>913</v>
      </c>
      <c r="O2336" s="283" t="s">
        <v>1821</v>
      </c>
      <c r="P2336" s="283">
        <f>C144/1000</f>
        <v>56.35</v>
      </c>
      <c r="Q2336" s="374" t="s">
        <v>913</v>
      </c>
      <c r="R2336" s="283">
        <f>P2336*M2336</f>
        <v>28.18</v>
      </c>
      <c r="W2336" s="744"/>
    </row>
    <row r="2337" spans="4:23" ht="24" customHeight="1">
      <c r="G2337" s="374" t="s">
        <v>449</v>
      </c>
      <c r="H2337" s="283" t="s">
        <v>2019</v>
      </c>
      <c r="I2337" s="283">
        <f>SUM(K2335:K2336)*10/100</f>
        <v>88.4</v>
      </c>
      <c r="J2337" s="374" t="s">
        <v>449</v>
      </c>
      <c r="K2337" s="283">
        <f>I2337</f>
        <v>88.4</v>
      </c>
      <c r="M2337" s="283">
        <v>0.5</v>
      </c>
      <c r="N2337" s="283" t="s">
        <v>560</v>
      </c>
      <c r="O2337" s="283" t="s">
        <v>653</v>
      </c>
      <c r="P2337" s="283">
        <f>C17</f>
        <v>881</v>
      </c>
      <c r="Q2337" s="374" t="s">
        <v>913</v>
      </c>
      <c r="R2337" s="283">
        <f>P2337*M2337</f>
        <v>440.5</v>
      </c>
      <c r="W2337" s="744"/>
    </row>
    <row r="2338" spans="4:23" ht="24" customHeight="1">
      <c r="H2338" s="283" t="s">
        <v>2024</v>
      </c>
      <c r="K2338" s="283">
        <f>SUM(K2335:K2337)</f>
        <v>972.4</v>
      </c>
      <c r="M2338" s="283">
        <v>0.5</v>
      </c>
      <c r="N2338" s="283" t="s">
        <v>560</v>
      </c>
      <c r="O2338" s="283" t="s">
        <v>654</v>
      </c>
      <c r="P2338" s="283">
        <f>C12</f>
        <v>651</v>
      </c>
      <c r="Q2338" s="374" t="s">
        <v>913</v>
      </c>
      <c r="R2338" s="283">
        <f>P2338*M2338</f>
        <v>325.5</v>
      </c>
      <c r="W2338" s="744"/>
    </row>
    <row r="2339" spans="4:23" ht="24" customHeight="1">
      <c r="H2339" s="283" t="s">
        <v>992</v>
      </c>
      <c r="K2339" s="751">
        <f>K2338/2.44</f>
        <v>398.52</v>
      </c>
      <c r="O2339" s="283" t="s">
        <v>39</v>
      </c>
      <c r="Q2339" s="374"/>
      <c r="R2339" s="283">
        <f>SUM(R2335:R2338)</f>
        <v>3197.93</v>
      </c>
      <c r="W2339" s="744"/>
    </row>
    <row r="2340" spans="4:23" ht="24" customHeight="1">
      <c r="K2340" s="283">
        <v>0</v>
      </c>
      <c r="O2340" s="751" t="s">
        <v>1730</v>
      </c>
      <c r="Q2340" s="374"/>
      <c r="R2340" s="751">
        <f>R2339/15</f>
        <v>213.2</v>
      </c>
      <c r="W2340" s="744"/>
    </row>
    <row r="2341" spans="4:23" ht="24" customHeight="1">
      <c r="H2341" s="751" t="s">
        <v>940</v>
      </c>
      <c r="W2341" s="744"/>
    </row>
    <row r="2342" spans="4:23" ht="24" customHeight="1">
      <c r="F2342" s="746">
        <v>7.0999999999999994E-2</v>
      </c>
      <c r="G2342" s="283" t="s">
        <v>367</v>
      </c>
      <c r="H2342" s="283" t="s">
        <v>941</v>
      </c>
      <c r="I2342" s="283">
        <f>Y689</f>
        <v>8433.1</v>
      </c>
      <c r="J2342" s="374" t="s">
        <v>368</v>
      </c>
      <c r="K2342" s="283">
        <f>I2342*F2342</f>
        <v>598.75</v>
      </c>
      <c r="W2342" s="744"/>
    </row>
    <row r="2343" spans="4:23" ht="24" customHeight="1">
      <c r="F2343" s="283">
        <v>1</v>
      </c>
      <c r="G2343" s="283" t="s">
        <v>2196</v>
      </c>
      <c r="H2343" s="283" t="s">
        <v>915</v>
      </c>
      <c r="I2343" s="283">
        <f>K2339</f>
        <v>398.52</v>
      </c>
      <c r="J2343" s="374" t="s">
        <v>2196</v>
      </c>
      <c r="K2343" s="283">
        <f>I2343*F2343</f>
        <v>398.52</v>
      </c>
      <c r="W2343" s="744"/>
    </row>
    <row r="2344" spans="4:23" ht="43.5" customHeight="1">
      <c r="F2344" s="283" t="s">
        <v>975</v>
      </c>
      <c r="H2344" s="283" t="s">
        <v>369</v>
      </c>
      <c r="K2344" s="751">
        <f>SUM(K2342:K2343)</f>
        <v>997.27</v>
      </c>
      <c r="O2344" s="999" t="s">
        <v>1166</v>
      </c>
      <c r="P2344" s="1000"/>
      <c r="Q2344" s="1000"/>
      <c r="W2344" s="744"/>
    </row>
    <row r="2345" spans="4:23" ht="51" customHeight="1">
      <c r="M2345" s="283">
        <v>0.47</v>
      </c>
      <c r="N2345" s="283" t="s">
        <v>2151</v>
      </c>
      <c r="O2345" s="283" t="s">
        <v>357</v>
      </c>
      <c r="P2345" s="283">
        <f>K91</f>
        <v>224.1</v>
      </c>
      <c r="Q2345" s="374" t="s">
        <v>1398</v>
      </c>
      <c r="R2345" s="283">
        <f>P2345*M2345</f>
        <v>105.33</v>
      </c>
      <c r="W2345" s="744"/>
    </row>
    <row r="2346" spans="4:23" ht="24" customHeight="1">
      <c r="M2346" s="283">
        <v>2</v>
      </c>
      <c r="R2346" s="283">
        <f>P2346*M2346</f>
        <v>0</v>
      </c>
      <c r="W2346" s="744"/>
    </row>
    <row r="2347" spans="4:23" ht="36.75" customHeight="1">
      <c r="H2347" s="841" t="s">
        <v>1332</v>
      </c>
      <c r="K2347" s="746"/>
      <c r="M2347" s="283">
        <v>0.24</v>
      </c>
      <c r="N2347" s="283" t="s">
        <v>2151</v>
      </c>
      <c r="O2347" s="283" t="s">
        <v>1167</v>
      </c>
      <c r="P2347" s="283">
        <f>AC15</f>
        <v>1163</v>
      </c>
      <c r="Q2347" s="374" t="s">
        <v>1398</v>
      </c>
      <c r="R2347" s="283">
        <f>P2347*M2347</f>
        <v>279.12</v>
      </c>
      <c r="W2347" s="744"/>
    </row>
    <row r="2348" spans="4:23" ht="41.25" customHeight="1">
      <c r="D2348" s="283">
        <f>24/5</f>
        <v>4.8</v>
      </c>
      <c r="F2348" s="283">
        <v>98.5</v>
      </c>
      <c r="G2348" s="283" t="s">
        <v>1771</v>
      </c>
      <c r="H2348" s="791" t="s">
        <v>5329</v>
      </c>
      <c r="I2348" s="746">
        <f>25.2/5</f>
        <v>5.04</v>
      </c>
      <c r="J2348" s="374" t="s">
        <v>1771</v>
      </c>
      <c r="K2348" s="283">
        <f>I2348*F2348</f>
        <v>496.44</v>
      </c>
      <c r="M2348" s="283">
        <v>0.79</v>
      </c>
      <c r="N2348" s="374" t="s">
        <v>2283</v>
      </c>
      <c r="O2348" s="791" t="s">
        <v>5330</v>
      </c>
      <c r="P2348" s="283">
        <f>AD560</f>
        <v>1649.7</v>
      </c>
      <c r="Q2348" s="374" t="s">
        <v>449</v>
      </c>
      <c r="R2348" s="283">
        <f>P2348*M2348</f>
        <v>1303.26</v>
      </c>
      <c r="W2348" s="744"/>
    </row>
    <row r="2349" spans="4:23" ht="24" customHeight="1">
      <c r="F2349" s="283">
        <v>0.3</v>
      </c>
      <c r="G2349" s="283" t="s">
        <v>1771</v>
      </c>
      <c r="H2349" s="283" t="s">
        <v>274</v>
      </c>
      <c r="I2349" s="283">
        <f>C16</f>
        <v>976</v>
      </c>
      <c r="J2349" s="374" t="s">
        <v>1398</v>
      </c>
      <c r="K2349" s="283">
        <f>I2349*F2349</f>
        <v>292.8</v>
      </c>
      <c r="M2349" s="283">
        <v>0.24</v>
      </c>
      <c r="N2349" s="283" t="s">
        <v>2151</v>
      </c>
      <c r="O2349" s="283" t="s">
        <v>912</v>
      </c>
      <c r="P2349" s="283">
        <f>I141</f>
        <v>2074.06</v>
      </c>
      <c r="Q2349" s="374"/>
      <c r="R2349" s="283">
        <f>P2349*M2349</f>
        <v>497.77</v>
      </c>
      <c r="W2349" s="744"/>
    </row>
    <row r="2350" spans="4:23" ht="24" customHeight="1">
      <c r="F2350" s="283">
        <v>0.3</v>
      </c>
      <c r="G2350" s="283" t="s">
        <v>1771</v>
      </c>
      <c r="H2350" s="283" t="s">
        <v>654</v>
      </c>
      <c r="I2350" s="283">
        <f>C12</f>
        <v>651</v>
      </c>
      <c r="J2350" s="374" t="s">
        <v>1398</v>
      </c>
      <c r="K2350" s="283">
        <f>I2350*F2350</f>
        <v>195.3</v>
      </c>
      <c r="O2350" s="283" t="s">
        <v>2271</v>
      </c>
      <c r="Q2350" s="374"/>
      <c r="R2350" s="283" t="s">
        <v>1309</v>
      </c>
      <c r="W2350" s="744"/>
    </row>
    <row r="2351" spans="4:23" ht="24" customHeight="1">
      <c r="H2351" s="283" t="s">
        <v>13</v>
      </c>
      <c r="K2351" s="283">
        <v>0.9</v>
      </c>
      <c r="R2351" s="751">
        <f>SUM(R2345:R2349)</f>
        <v>2185.48</v>
      </c>
      <c r="W2351" s="744"/>
    </row>
    <row r="2352" spans="4:23" ht="24" customHeight="1">
      <c r="H2352" s="751" t="s">
        <v>3539</v>
      </c>
      <c r="K2352" s="751">
        <f>SUM(K2348:K2351)</f>
        <v>985.44</v>
      </c>
      <c r="R2352" s="283" t="s">
        <v>4013</v>
      </c>
      <c r="W2352" s="744"/>
    </row>
    <row r="2353" spans="6:23" ht="24" customHeight="1">
      <c r="H2353" s="751" t="s">
        <v>3540</v>
      </c>
      <c r="K2353" s="751">
        <f>K2352/10</f>
        <v>98.54</v>
      </c>
      <c r="R2353" s="283">
        <v>0</v>
      </c>
      <c r="W2353" s="744"/>
    </row>
    <row r="2354" spans="6:23" ht="24" customHeight="1">
      <c r="H2354" s="751" t="s">
        <v>3541</v>
      </c>
      <c r="K2354" s="751">
        <f>K2353/3</f>
        <v>32.85</v>
      </c>
      <c r="O2354" s="999" t="s">
        <v>1310</v>
      </c>
      <c r="P2354" s="1000"/>
      <c r="Q2354" s="1000"/>
      <c r="W2354" s="744"/>
    </row>
    <row r="2355" spans="6:23" ht="24" customHeight="1">
      <c r="G2355" s="750" t="s">
        <v>728</v>
      </c>
      <c r="H2355" s="283" t="s">
        <v>724</v>
      </c>
      <c r="I2355" s="751">
        <f>I2357-K2353</f>
        <v>848.08</v>
      </c>
      <c r="K2355" s="751"/>
      <c r="M2355" s="283">
        <v>1</v>
      </c>
      <c r="N2355" s="283" t="s">
        <v>2151</v>
      </c>
      <c r="O2355" s="283" t="s">
        <v>915</v>
      </c>
      <c r="P2355" s="283">
        <f>R2366</f>
        <v>398.52</v>
      </c>
      <c r="Q2355" s="374" t="s">
        <v>1398</v>
      </c>
      <c r="R2355" s="283">
        <f>P2355*M2355</f>
        <v>398.52</v>
      </c>
      <c r="W2355" s="744"/>
    </row>
    <row r="2356" spans="6:23" ht="24" customHeight="1">
      <c r="G2356" s="751"/>
      <c r="I2356" s="751"/>
      <c r="K2356" s="751"/>
      <c r="M2356" s="746">
        <v>7.0999999999999994E-2</v>
      </c>
      <c r="N2356" s="283" t="s">
        <v>2151</v>
      </c>
      <c r="O2356" s="283" t="s">
        <v>1167</v>
      </c>
      <c r="P2356" s="283">
        <f>P2347</f>
        <v>1163</v>
      </c>
      <c r="Q2356" s="374" t="s">
        <v>1398</v>
      </c>
      <c r="R2356" s="283">
        <f>P2356*M2356</f>
        <v>82.57</v>
      </c>
      <c r="W2356" s="744"/>
    </row>
    <row r="2357" spans="6:23" ht="24" customHeight="1">
      <c r="G2357" s="750" t="s">
        <v>520</v>
      </c>
      <c r="H2357" s="283" t="s">
        <v>725</v>
      </c>
      <c r="I2357" s="751">
        <f>K771</f>
        <v>946.62</v>
      </c>
      <c r="K2357" s="751"/>
      <c r="R2357" s="283" t="s">
        <v>1309</v>
      </c>
      <c r="W2357" s="744"/>
    </row>
    <row r="2358" spans="6:23" ht="24" customHeight="1">
      <c r="G2358" s="751"/>
      <c r="I2358" s="751"/>
      <c r="K2358" s="751"/>
      <c r="N2358" s="374"/>
      <c r="Q2358" s="374"/>
      <c r="R2358" s="751">
        <f>SUM(R2355:R2356)</f>
        <v>481.09</v>
      </c>
      <c r="W2358" s="744"/>
    </row>
    <row r="2359" spans="6:23" ht="24" customHeight="1">
      <c r="G2359" s="842" t="s">
        <v>316</v>
      </c>
      <c r="H2359" s="770" t="s">
        <v>726</v>
      </c>
      <c r="I2359" s="751">
        <f>I2357*1.2</f>
        <v>1135.94</v>
      </c>
      <c r="K2359" s="751"/>
      <c r="Q2359" s="374"/>
      <c r="R2359" s="283" t="s">
        <v>1309</v>
      </c>
      <c r="W2359" s="744"/>
    </row>
    <row r="2360" spans="6:23" ht="24" customHeight="1">
      <c r="G2360" s="750"/>
      <c r="K2360" s="751"/>
      <c r="M2360" s="283">
        <v>0.25</v>
      </c>
      <c r="N2360" s="283" t="s">
        <v>1394</v>
      </c>
      <c r="O2360" s="283" t="s">
        <v>1311</v>
      </c>
      <c r="P2360" s="283">
        <f>AE10</f>
        <v>932</v>
      </c>
      <c r="Q2360" s="374"/>
      <c r="R2360" s="283">
        <f>P2360*M2360</f>
        <v>233</v>
      </c>
      <c r="W2360" s="744"/>
    </row>
    <row r="2361" spans="6:23" ht="24" customHeight="1">
      <c r="G2361" s="750" t="s">
        <v>729</v>
      </c>
      <c r="H2361" s="283" t="s">
        <v>727</v>
      </c>
      <c r="I2361" s="751">
        <f>I2357*1.1</f>
        <v>1041.28</v>
      </c>
      <c r="K2361" s="751"/>
      <c r="M2361" s="283">
        <v>1</v>
      </c>
      <c r="N2361" s="283" t="s">
        <v>1394</v>
      </c>
      <c r="O2361" s="283" t="s">
        <v>1312</v>
      </c>
      <c r="P2361" s="283">
        <f>AE11</f>
        <v>651</v>
      </c>
      <c r="R2361" s="283">
        <f>P2361*M2361</f>
        <v>651</v>
      </c>
      <c r="W2361" s="744"/>
    </row>
    <row r="2362" spans="6:23" ht="42" customHeight="1">
      <c r="K2362" s="751"/>
      <c r="M2362" s="283">
        <v>1</v>
      </c>
      <c r="N2362" s="283" t="s">
        <v>1394</v>
      </c>
      <c r="O2362" s="786" t="s">
        <v>1313</v>
      </c>
      <c r="P2362" s="283" t="s">
        <v>657</v>
      </c>
      <c r="R2362" s="283">
        <f>(R2360+R2361)*10%</f>
        <v>88.4</v>
      </c>
      <c r="W2362" s="744"/>
    </row>
    <row r="2363" spans="6:23" ht="24" customHeight="1">
      <c r="R2363" s="283" t="s">
        <v>1309</v>
      </c>
      <c r="W2363" s="744"/>
    </row>
    <row r="2364" spans="6:23" ht="24" customHeight="1">
      <c r="H2364" s="751" t="s">
        <v>2191</v>
      </c>
      <c r="R2364" s="751">
        <f>SUM(R2360:R2362)</f>
        <v>972.4</v>
      </c>
      <c r="W2364" s="744"/>
    </row>
    <row r="2365" spans="6:23" ht="24" customHeight="1">
      <c r="F2365" s="283">
        <v>11.5</v>
      </c>
      <c r="G2365" s="283" t="s">
        <v>2283</v>
      </c>
      <c r="H2365" s="283" t="s">
        <v>5331</v>
      </c>
      <c r="I2365" s="283">
        <v>170.15</v>
      </c>
      <c r="J2365" s="374" t="s">
        <v>2283</v>
      </c>
      <c r="K2365" s="283">
        <f t="shared" ref="K2365:K2370" si="250">F2365*I2365</f>
        <v>1956.73</v>
      </c>
      <c r="R2365" s="283" t="s">
        <v>1309</v>
      </c>
      <c r="W2365" s="744"/>
    </row>
    <row r="2366" spans="6:23" ht="24" customHeight="1">
      <c r="F2366" s="283">
        <v>2</v>
      </c>
      <c r="G2366" s="283" t="s">
        <v>1965</v>
      </c>
      <c r="H2366" s="283" t="s">
        <v>5332</v>
      </c>
      <c r="I2366" s="283">
        <v>196.45</v>
      </c>
      <c r="J2366" s="374" t="s">
        <v>1966</v>
      </c>
      <c r="K2366" s="283">
        <f t="shared" si="250"/>
        <v>392.9</v>
      </c>
      <c r="R2366" s="283">
        <f>R2364/2.44</f>
        <v>398.52</v>
      </c>
      <c r="W2366" s="744"/>
    </row>
    <row r="2367" spans="6:23" ht="24" customHeight="1">
      <c r="F2367" s="283">
        <v>20</v>
      </c>
      <c r="G2367" s="283" t="s">
        <v>145</v>
      </c>
      <c r="H2367" s="785" t="s">
        <v>5333</v>
      </c>
      <c r="I2367" s="283">
        <v>3.91</v>
      </c>
      <c r="J2367" s="374" t="s">
        <v>145</v>
      </c>
      <c r="K2367" s="283">
        <f t="shared" si="250"/>
        <v>78.2</v>
      </c>
      <c r="W2367" s="744"/>
    </row>
    <row r="2368" spans="6:23" ht="24" customHeight="1">
      <c r="F2368" s="283">
        <v>2.2000000000000002</v>
      </c>
      <c r="G2368" s="283" t="s">
        <v>1394</v>
      </c>
      <c r="H2368" s="283" t="s">
        <v>965</v>
      </c>
      <c r="I2368" s="283">
        <f>AE18</f>
        <v>856</v>
      </c>
      <c r="J2368" s="374" t="s">
        <v>1398</v>
      </c>
      <c r="K2368" s="283">
        <f t="shared" si="250"/>
        <v>1883.2</v>
      </c>
      <c r="W2368" s="744"/>
    </row>
    <row r="2369" spans="6:23" ht="24" customHeight="1">
      <c r="F2369" s="283">
        <v>1.1000000000000001</v>
      </c>
      <c r="G2369" s="283" t="s">
        <v>1394</v>
      </c>
      <c r="H2369" s="283" t="s">
        <v>143</v>
      </c>
      <c r="I2369" s="283">
        <f>C16</f>
        <v>976</v>
      </c>
      <c r="J2369" s="374" t="s">
        <v>1398</v>
      </c>
      <c r="K2369" s="283">
        <f t="shared" si="250"/>
        <v>1073.5999999999999</v>
      </c>
      <c r="W2369" s="744"/>
    </row>
    <row r="2370" spans="6:23" ht="24" customHeight="1">
      <c r="F2370" s="283">
        <v>3.2</v>
      </c>
      <c r="G2370" s="283" t="s">
        <v>1394</v>
      </c>
      <c r="H2370" s="283" t="s">
        <v>144</v>
      </c>
      <c r="I2370" s="283">
        <f>C12</f>
        <v>651</v>
      </c>
      <c r="J2370" s="374" t="s">
        <v>1398</v>
      </c>
      <c r="K2370" s="283">
        <f t="shared" si="250"/>
        <v>2083.1999999999998</v>
      </c>
      <c r="O2370" s="744"/>
      <c r="W2370" s="744"/>
    </row>
    <row r="2371" spans="6:23" ht="24" customHeight="1">
      <c r="H2371" s="283" t="s">
        <v>1458</v>
      </c>
      <c r="J2371" s="374" t="s">
        <v>449</v>
      </c>
      <c r="K2371" s="283">
        <v>0.5</v>
      </c>
      <c r="O2371" s="757" t="s">
        <v>2192</v>
      </c>
      <c r="Q2371" s="374"/>
      <c r="W2371" s="744"/>
    </row>
    <row r="2372" spans="6:23" ht="24" customHeight="1">
      <c r="K2372" s="785" t="s">
        <v>146</v>
      </c>
      <c r="M2372" s="283">
        <v>11</v>
      </c>
      <c r="N2372" s="283" t="s">
        <v>2283</v>
      </c>
      <c r="O2372" s="283" t="s">
        <v>2895</v>
      </c>
      <c r="P2372" s="283">
        <f>I2365</f>
        <v>170.15</v>
      </c>
      <c r="Q2372" s="374" t="s">
        <v>2283</v>
      </c>
      <c r="R2372" s="283">
        <f>M2372*P2372</f>
        <v>1871.65</v>
      </c>
      <c r="W2372" s="744"/>
    </row>
    <row r="2373" spans="6:23" ht="24" customHeight="1">
      <c r="H2373" s="757" t="s">
        <v>1459</v>
      </c>
      <c r="K2373" s="751">
        <f>SUM(K2365:K2372)</f>
        <v>7468.33</v>
      </c>
      <c r="M2373" s="283">
        <v>20</v>
      </c>
      <c r="N2373" s="374" t="s">
        <v>282</v>
      </c>
      <c r="O2373" s="283" t="s">
        <v>794</v>
      </c>
      <c r="P2373" s="283">
        <f>I2367</f>
        <v>3.91</v>
      </c>
      <c r="Q2373" s="374" t="s">
        <v>282</v>
      </c>
      <c r="R2373" s="283">
        <f>M2373*P2373</f>
        <v>78.2</v>
      </c>
      <c r="W2373" s="744"/>
    </row>
    <row r="2374" spans="6:23" ht="24" customHeight="1">
      <c r="K2374" s="785" t="s">
        <v>146</v>
      </c>
      <c r="M2374" s="283">
        <v>2.2000000000000002</v>
      </c>
      <c r="N2374" s="283" t="s">
        <v>1394</v>
      </c>
      <c r="O2374" s="283" t="s">
        <v>965</v>
      </c>
      <c r="P2374" s="283">
        <f>AE18</f>
        <v>856</v>
      </c>
      <c r="Q2374" s="374" t="s">
        <v>1398</v>
      </c>
      <c r="R2374" s="283">
        <f>M2374*P2374</f>
        <v>1883.2</v>
      </c>
      <c r="W2374" s="744"/>
    </row>
    <row r="2375" spans="6:23" ht="24" customHeight="1">
      <c r="H2375" s="757" t="s">
        <v>1950</v>
      </c>
      <c r="I2375" s="283" t="s">
        <v>975</v>
      </c>
      <c r="K2375" s="751">
        <f>K2373/10</f>
        <v>746.83</v>
      </c>
      <c r="M2375" s="283">
        <v>1.1000000000000001</v>
      </c>
      <c r="N2375" s="283" t="s">
        <v>1394</v>
      </c>
      <c r="O2375" s="283" t="s">
        <v>143</v>
      </c>
      <c r="P2375" s="283">
        <f>I2369</f>
        <v>976</v>
      </c>
      <c r="Q2375" s="374" t="s">
        <v>1398</v>
      </c>
      <c r="R2375" s="283">
        <f>M2375*P2375</f>
        <v>1073.5999999999999</v>
      </c>
      <c r="W2375" s="744"/>
    </row>
    <row r="2376" spans="6:23" ht="24" customHeight="1">
      <c r="K2376" s="785" t="s">
        <v>146</v>
      </c>
      <c r="M2376" s="283">
        <v>3.2</v>
      </c>
      <c r="N2376" s="283" t="s">
        <v>1394</v>
      </c>
      <c r="O2376" s="283" t="s">
        <v>144</v>
      </c>
      <c r="P2376" s="283">
        <f>I2370</f>
        <v>651</v>
      </c>
      <c r="Q2376" s="374" t="s">
        <v>1398</v>
      </c>
      <c r="R2376" s="283">
        <f>M2376*P2376</f>
        <v>2083.1999999999998</v>
      </c>
      <c r="W2376" s="744"/>
    </row>
    <row r="2377" spans="6:23" ht="24" customHeight="1">
      <c r="O2377" s="283" t="s">
        <v>1458</v>
      </c>
      <c r="Q2377" s="374" t="s">
        <v>657</v>
      </c>
      <c r="R2377" s="283">
        <v>0.74</v>
      </c>
      <c r="W2377" s="744"/>
    </row>
    <row r="2378" spans="6:23" ht="24" customHeight="1">
      <c r="W2378" s="744"/>
    </row>
    <row r="2379" spans="6:23" ht="39" customHeight="1">
      <c r="H2379" s="775" t="s">
        <v>2026</v>
      </c>
      <c r="Q2379" s="374"/>
      <c r="R2379" s="785" t="s">
        <v>146</v>
      </c>
      <c r="W2379" s="744"/>
    </row>
    <row r="2380" spans="6:23" ht="24" customHeight="1">
      <c r="O2380" s="757" t="s">
        <v>1459</v>
      </c>
      <c r="Q2380" s="374"/>
      <c r="R2380" s="751">
        <f>SUM(R2372:R2379)</f>
        <v>6990.59</v>
      </c>
      <c r="W2380" s="744"/>
    </row>
    <row r="2381" spans="6:23" ht="24" customHeight="1">
      <c r="F2381" s="283" t="s">
        <v>2027</v>
      </c>
      <c r="H2381" s="283" t="s">
        <v>2028</v>
      </c>
      <c r="Q2381" s="374"/>
      <c r="R2381" s="785" t="s">
        <v>146</v>
      </c>
      <c r="W2381" s="744"/>
    </row>
    <row r="2382" spans="6:23" ht="24" customHeight="1">
      <c r="H2382" s="283" t="s">
        <v>352</v>
      </c>
      <c r="O2382" s="757" t="s">
        <v>1460</v>
      </c>
      <c r="Q2382" s="374"/>
      <c r="R2382" s="751">
        <f>R2380/10</f>
        <v>699.06</v>
      </c>
      <c r="W2382" s="744"/>
    </row>
    <row r="2383" spans="6:23" ht="24" customHeight="1">
      <c r="Q2383" s="374"/>
      <c r="R2383" s="785" t="s">
        <v>146</v>
      </c>
      <c r="W2383" s="744"/>
    </row>
    <row r="2384" spans="6:23" ht="24" customHeight="1">
      <c r="F2384" s="283">
        <v>1.96</v>
      </c>
      <c r="G2384" s="283" t="s">
        <v>2151</v>
      </c>
      <c r="H2384" s="283" t="s">
        <v>353</v>
      </c>
      <c r="I2384" s="283">
        <f>K1714</f>
        <v>5787.12</v>
      </c>
      <c r="J2384" s="374" t="s">
        <v>869</v>
      </c>
      <c r="K2384" s="283">
        <f t="shared" ref="K2384:K2389" si="251">(F2384*I2384)</f>
        <v>11342.76</v>
      </c>
      <c r="W2384" s="744"/>
    </row>
    <row r="2385" spans="5:23" ht="24" customHeight="1">
      <c r="F2385" s="283">
        <v>2</v>
      </c>
      <c r="G2385" s="283" t="s">
        <v>1394</v>
      </c>
      <c r="H2385" s="283" t="s">
        <v>354</v>
      </c>
      <c r="I2385" s="283">
        <f>C10</f>
        <v>999</v>
      </c>
      <c r="J2385" s="374" t="s">
        <v>868</v>
      </c>
      <c r="K2385" s="283">
        <f t="shared" si="251"/>
        <v>1998</v>
      </c>
      <c r="W2385" s="744"/>
    </row>
    <row r="2386" spans="5:23" ht="24" customHeight="1">
      <c r="F2386" s="283">
        <v>2</v>
      </c>
      <c r="G2386" s="283" t="s">
        <v>1394</v>
      </c>
      <c r="H2386" s="283" t="s">
        <v>355</v>
      </c>
      <c r="I2386" s="283">
        <f>C13</f>
        <v>534</v>
      </c>
      <c r="J2386" s="374" t="s">
        <v>868</v>
      </c>
      <c r="K2386" s="283">
        <f t="shared" si="251"/>
        <v>1068</v>
      </c>
      <c r="N2386" s="283" t="s">
        <v>2251</v>
      </c>
      <c r="Q2386" s="374"/>
      <c r="W2386" s="744"/>
    </row>
    <row r="2387" spans="5:23" ht="24" customHeight="1">
      <c r="F2387" s="283">
        <v>0.28000000000000003</v>
      </c>
      <c r="G2387" s="283" t="s">
        <v>2283</v>
      </c>
      <c r="H2387" s="283" t="s">
        <v>356</v>
      </c>
      <c r="I2387" s="283">
        <f>I2355</f>
        <v>848.08</v>
      </c>
      <c r="J2387" s="374" t="s">
        <v>868</v>
      </c>
      <c r="K2387" s="283">
        <f t="shared" si="251"/>
        <v>237.46</v>
      </c>
      <c r="O2387" s="374" t="s">
        <v>6129</v>
      </c>
      <c r="Q2387" s="744"/>
      <c r="W2387" s="744"/>
    </row>
    <row r="2388" spans="5:23" ht="24" customHeight="1">
      <c r="F2388" s="283">
        <v>500</v>
      </c>
      <c r="G2388" s="283" t="s">
        <v>1394</v>
      </c>
      <c r="H2388" s="777" t="s">
        <v>2146</v>
      </c>
      <c r="I2388" s="283">
        <v>2</v>
      </c>
      <c r="J2388" s="374" t="s">
        <v>868</v>
      </c>
      <c r="K2388" s="283">
        <f t="shared" si="251"/>
        <v>1000</v>
      </c>
      <c r="O2388" s="374" t="s">
        <v>3664</v>
      </c>
      <c r="Q2388" s="744"/>
      <c r="W2388" s="744"/>
    </row>
    <row r="2389" spans="5:23" ht="24" customHeight="1">
      <c r="F2389" s="283">
        <v>8.5</v>
      </c>
      <c r="G2389" s="283" t="s">
        <v>2147</v>
      </c>
      <c r="H2389" s="283" t="s">
        <v>4231</v>
      </c>
      <c r="I2389" s="283">
        <v>43.6</v>
      </c>
      <c r="J2389" s="374" t="s">
        <v>2147</v>
      </c>
      <c r="K2389" s="283">
        <f t="shared" si="251"/>
        <v>370.6</v>
      </c>
      <c r="O2389" s="374" t="s">
        <v>3665</v>
      </c>
      <c r="Q2389" s="744"/>
      <c r="W2389" s="744"/>
    </row>
    <row r="2390" spans="5:23" ht="24" customHeight="1">
      <c r="H2390" s="283" t="s">
        <v>2271</v>
      </c>
      <c r="K2390" s="784">
        <v>1.96</v>
      </c>
      <c r="O2390" s="374" t="s">
        <v>3666</v>
      </c>
      <c r="Q2390" s="744"/>
      <c r="W2390" s="744"/>
    </row>
    <row r="2391" spans="5:23" ht="24" customHeight="1">
      <c r="I2391" s="283" t="s">
        <v>1729</v>
      </c>
      <c r="K2391" s="283">
        <f>SUM(K2384:K2390)</f>
        <v>16018.78</v>
      </c>
      <c r="O2391" s="748" t="s">
        <v>1586</v>
      </c>
      <c r="P2391" s="748" t="s">
        <v>1586</v>
      </c>
      <c r="Q2391" s="744"/>
      <c r="W2391" s="744"/>
    </row>
    <row r="2392" spans="5:23" ht="24" customHeight="1">
      <c r="K2392" s="748" t="s">
        <v>1586</v>
      </c>
      <c r="M2392" s="283">
        <v>8</v>
      </c>
      <c r="N2392" s="283" t="s">
        <v>1873</v>
      </c>
      <c r="O2392" s="374" t="s">
        <v>4266</v>
      </c>
      <c r="P2392" s="784">
        <v>4.0999999999999996</v>
      </c>
      <c r="Q2392" s="744" t="s">
        <v>1398</v>
      </c>
      <c r="R2392" s="283">
        <f>P2392*M2392</f>
        <v>32.799999999999997</v>
      </c>
      <c r="W2392" s="744"/>
    </row>
    <row r="2393" spans="5:23" ht="24" customHeight="1">
      <c r="E2393" s="283">
        <f>23+26.65</f>
        <v>49.65</v>
      </c>
      <c r="I2393" s="283" t="s">
        <v>1730</v>
      </c>
      <c r="K2393" s="751">
        <f>K2391/39.2</f>
        <v>408.64</v>
      </c>
      <c r="M2393" s="283">
        <v>8</v>
      </c>
      <c r="N2393" s="283" t="s">
        <v>1873</v>
      </c>
      <c r="O2393" s="374" t="s">
        <v>3667</v>
      </c>
      <c r="P2393" s="784">
        <v>3.69</v>
      </c>
      <c r="Q2393" s="744" t="s">
        <v>1398</v>
      </c>
      <c r="R2393" s="283">
        <f>P2393*M2393</f>
        <v>29.52</v>
      </c>
      <c r="W2393" s="744"/>
    </row>
    <row r="2394" spans="5:23" ht="24" customHeight="1">
      <c r="E2394" s="283">
        <f>E2393/2</f>
        <v>24.83</v>
      </c>
      <c r="K2394" s="748" t="s">
        <v>2055</v>
      </c>
      <c r="M2394" s="283">
        <v>8</v>
      </c>
      <c r="N2394" s="283" t="s">
        <v>1873</v>
      </c>
      <c r="O2394" s="374" t="s">
        <v>3668</v>
      </c>
      <c r="P2394" s="784">
        <v>4.0999999999999996</v>
      </c>
      <c r="Q2394" s="744" t="s">
        <v>1398</v>
      </c>
      <c r="R2394" s="283">
        <f>P2394*M2394</f>
        <v>32.799999999999997</v>
      </c>
      <c r="W2394" s="744"/>
    </row>
    <row r="2395" spans="5:23" ht="24" customHeight="1">
      <c r="M2395" s="283">
        <v>0.75</v>
      </c>
      <c r="N2395" s="283" t="s">
        <v>1645</v>
      </c>
      <c r="O2395" s="374" t="s">
        <v>3669</v>
      </c>
      <c r="P2395" s="283">
        <v>176.4</v>
      </c>
      <c r="Q2395" s="744" t="s">
        <v>1398</v>
      </c>
      <c r="R2395" s="283">
        <f t="shared" ref="R2395:R2400" si="252">(M2395*P2395)</f>
        <v>132.30000000000001</v>
      </c>
      <c r="W2395" s="744"/>
    </row>
    <row r="2396" spans="5:23" ht="24" customHeight="1">
      <c r="M2396" s="283">
        <v>2.25</v>
      </c>
      <c r="N2396" s="283" t="s">
        <v>3670</v>
      </c>
      <c r="O2396" s="374" t="s">
        <v>3671</v>
      </c>
      <c r="P2396" s="283">
        <v>140.41</v>
      </c>
      <c r="Q2396" s="744" t="s">
        <v>3670</v>
      </c>
      <c r="R2396" s="283">
        <f t="shared" si="252"/>
        <v>315.92</v>
      </c>
      <c r="W2396" s="744"/>
    </row>
    <row r="2397" spans="5:23" ht="24" customHeight="1">
      <c r="H2397" s="751" t="s">
        <v>975</v>
      </c>
      <c r="M2397" s="283">
        <v>4.5</v>
      </c>
      <c r="N2397" s="283" t="s">
        <v>3670</v>
      </c>
      <c r="O2397" s="374" t="s">
        <v>3672</v>
      </c>
      <c r="P2397" s="283">
        <v>65</v>
      </c>
      <c r="Q2397" s="744" t="s">
        <v>3670</v>
      </c>
      <c r="R2397" s="283">
        <f t="shared" si="252"/>
        <v>292.5</v>
      </c>
      <c r="W2397" s="744"/>
    </row>
    <row r="2398" spans="5:23" ht="34.5" customHeight="1">
      <c r="F2398" s="283">
        <v>1</v>
      </c>
      <c r="G2398" s="283" t="s">
        <v>1394</v>
      </c>
      <c r="H2398" s="786" t="s">
        <v>5877</v>
      </c>
      <c r="I2398" s="283">
        <v>454.5</v>
      </c>
      <c r="J2398" s="374" t="s">
        <v>868</v>
      </c>
      <c r="K2398" s="283">
        <f>(F2398*I2398)</f>
        <v>454.5</v>
      </c>
      <c r="M2398" s="283">
        <v>6</v>
      </c>
      <c r="N2398" s="283" t="s">
        <v>1873</v>
      </c>
      <c r="O2398" s="374" t="s">
        <v>3673</v>
      </c>
      <c r="P2398" s="283">
        <v>8</v>
      </c>
      <c r="Q2398" s="744" t="s">
        <v>1398</v>
      </c>
      <c r="R2398" s="283">
        <f t="shared" si="252"/>
        <v>48</v>
      </c>
      <c r="W2398" s="744"/>
    </row>
    <row r="2399" spans="5:23" ht="24" customHeight="1">
      <c r="F2399" s="283">
        <v>0.25</v>
      </c>
      <c r="G2399" s="283" t="s">
        <v>1394</v>
      </c>
      <c r="H2399" s="283" t="s">
        <v>354</v>
      </c>
      <c r="I2399" s="283">
        <f>I2385</f>
        <v>999</v>
      </c>
      <c r="J2399" s="374" t="s">
        <v>868</v>
      </c>
      <c r="K2399" s="283">
        <f>(F2399*I2399)</f>
        <v>249.75</v>
      </c>
      <c r="M2399" s="283">
        <v>6</v>
      </c>
      <c r="N2399" s="283" t="s">
        <v>1873</v>
      </c>
      <c r="O2399" s="374" t="s">
        <v>3674</v>
      </c>
      <c r="P2399" s="283">
        <v>8.61</v>
      </c>
      <c r="Q2399" s="744" t="s">
        <v>1398</v>
      </c>
      <c r="R2399" s="283">
        <f t="shared" si="252"/>
        <v>51.66</v>
      </c>
      <c r="W2399" s="744"/>
    </row>
    <row r="2400" spans="5:23" ht="24" customHeight="1">
      <c r="F2400" s="283">
        <v>0.28000000000000003</v>
      </c>
      <c r="G2400" s="283" t="s">
        <v>2283</v>
      </c>
      <c r="H2400" s="283" t="s">
        <v>654</v>
      </c>
      <c r="I2400" s="283">
        <f>C12</f>
        <v>651</v>
      </c>
      <c r="J2400" s="374" t="s">
        <v>868</v>
      </c>
      <c r="K2400" s="283">
        <f>(F2400*I2400)</f>
        <v>182.28</v>
      </c>
      <c r="M2400" s="283">
        <v>4</v>
      </c>
      <c r="N2400" s="283" t="s">
        <v>1873</v>
      </c>
      <c r="O2400" s="374" t="s">
        <v>3675</v>
      </c>
      <c r="P2400" s="283">
        <v>8.61</v>
      </c>
      <c r="Q2400" s="744" t="s">
        <v>1398</v>
      </c>
      <c r="R2400" s="283">
        <f t="shared" si="252"/>
        <v>34.44</v>
      </c>
      <c r="W2400" s="744"/>
    </row>
    <row r="2401" spans="6:23" ht="24" customHeight="1">
      <c r="H2401" s="777"/>
      <c r="M2401" s="283">
        <v>300</v>
      </c>
      <c r="N2401" s="283" t="s">
        <v>3676</v>
      </c>
      <c r="O2401" s="374" t="s">
        <v>3677</v>
      </c>
      <c r="P2401" s="283">
        <v>30</v>
      </c>
      <c r="Q2401" s="744" t="s">
        <v>4239</v>
      </c>
      <c r="R2401" s="283">
        <f>P2401*M2401/100</f>
        <v>90</v>
      </c>
      <c r="W2401" s="744"/>
    </row>
    <row r="2402" spans="6:23" ht="24" customHeight="1">
      <c r="M2402" s="283">
        <v>300</v>
      </c>
      <c r="N2402" s="283" t="s">
        <v>3676</v>
      </c>
      <c r="O2402" s="374" t="s">
        <v>3678</v>
      </c>
      <c r="P2402" s="283">
        <v>44.99</v>
      </c>
      <c r="Q2402" s="744" t="s">
        <v>4240</v>
      </c>
      <c r="R2402" s="283">
        <f>P2402*M2402/500</f>
        <v>26.99</v>
      </c>
      <c r="W2402" s="744"/>
    </row>
    <row r="2403" spans="6:23" ht="24" customHeight="1">
      <c r="K2403" s="843" t="s">
        <v>146</v>
      </c>
      <c r="M2403" s="283">
        <v>1.5</v>
      </c>
      <c r="N2403" s="283" t="s">
        <v>1645</v>
      </c>
      <c r="O2403" s="374" t="s">
        <v>3679</v>
      </c>
      <c r="P2403" s="283">
        <v>20.95</v>
      </c>
      <c r="Q2403" s="744" t="s">
        <v>1645</v>
      </c>
      <c r="R2403" s="283">
        <f>P2403*M2403</f>
        <v>31.43</v>
      </c>
      <c r="W2403" s="744"/>
    </row>
    <row r="2404" spans="6:23" ht="24" customHeight="1">
      <c r="K2404" s="751">
        <f>SUM(K2398:K2403)</f>
        <v>886.53</v>
      </c>
      <c r="M2404" s="283">
        <v>2.25</v>
      </c>
      <c r="N2404" s="283" t="s">
        <v>3670</v>
      </c>
      <c r="O2404" s="374" t="s">
        <v>4267</v>
      </c>
      <c r="P2404" s="283">
        <v>212.41</v>
      </c>
      <c r="Q2404" s="744" t="s">
        <v>3670</v>
      </c>
      <c r="R2404" s="283">
        <f>(M2404*P2404)</f>
        <v>477.92</v>
      </c>
      <c r="W2404" s="744"/>
    </row>
    <row r="2405" spans="6:23" ht="24" customHeight="1">
      <c r="K2405" s="843" t="s">
        <v>146</v>
      </c>
      <c r="M2405" s="283">
        <v>0.75</v>
      </c>
      <c r="N2405" s="283" t="s">
        <v>3670</v>
      </c>
      <c r="O2405" s="374" t="s">
        <v>3680</v>
      </c>
      <c r="P2405" s="283">
        <v>205.21</v>
      </c>
      <c r="Q2405" s="744" t="s">
        <v>3670</v>
      </c>
      <c r="R2405" s="283">
        <f>(M2405*P2405)</f>
        <v>153.91</v>
      </c>
      <c r="W2405" s="744"/>
    </row>
    <row r="2406" spans="6:23" ht="24" customHeight="1">
      <c r="M2406" s="283">
        <v>2.25</v>
      </c>
      <c r="N2406" s="283" t="s">
        <v>3670</v>
      </c>
      <c r="O2406" s="374" t="s">
        <v>3681</v>
      </c>
      <c r="P2406" s="283">
        <v>185.21</v>
      </c>
      <c r="Q2406" s="744" t="s">
        <v>3670</v>
      </c>
      <c r="R2406" s="283">
        <f>(M2406*P2406)</f>
        <v>416.72</v>
      </c>
      <c r="W2406" s="744"/>
    </row>
    <row r="2407" spans="6:23" ht="24" customHeight="1">
      <c r="M2407" s="283">
        <v>500</v>
      </c>
      <c r="N2407" s="283" t="s">
        <v>3676</v>
      </c>
      <c r="O2407" s="374" t="s">
        <v>3682</v>
      </c>
      <c r="P2407" s="283">
        <v>52.25</v>
      </c>
      <c r="Q2407" s="744" t="s">
        <v>1645</v>
      </c>
      <c r="R2407" s="283">
        <f>(M2407*P2407)/1000</f>
        <v>26.13</v>
      </c>
      <c r="W2407" s="744"/>
    </row>
    <row r="2408" spans="6:23" ht="24" customHeight="1">
      <c r="H2408" s="751" t="s">
        <v>2121</v>
      </c>
      <c r="M2408" s="283">
        <v>1</v>
      </c>
      <c r="N2408" s="283" t="s">
        <v>1873</v>
      </c>
      <c r="O2408" s="374" t="s">
        <v>3683</v>
      </c>
      <c r="P2408" s="283">
        <v>131.21</v>
      </c>
      <c r="Q2408" s="744" t="s">
        <v>4241</v>
      </c>
      <c r="R2408" s="283">
        <f>P2408/1</f>
        <v>131.21</v>
      </c>
      <c r="W2408" s="744"/>
    </row>
    <row r="2409" spans="6:23" ht="24" customHeight="1">
      <c r="F2409" s="283">
        <v>1</v>
      </c>
      <c r="G2409" s="283" t="s">
        <v>1394</v>
      </c>
      <c r="H2409" s="283" t="s">
        <v>4259</v>
      </c>
      <c r="I2409" s="283">
        <f>C620</f>
        <v>940</v>
      </c>
      <c r="J2409" s="374" t="s">
        <v>868</v>
      </c>
      <c r="K2409" s="283">
        <f>(F2409*I2409)</f>
        <v>940</v>
      </c>
      <c r="M2409" s="283">
        <v>1</v>
      </c>
      <c r="N2409" s="283" t="s">
        <v>1873</v>
      </c>
      <c r="O2409" s="374" t="s">
        <v>3684</v>
      </c>
      <c r="P2409" s="283">
        <v>12.3</v>
      </c>
      <c r="Q2409" s="744" t="s">
        <v>4241</v>
      </c>
      <c r="R2409" s="283">
        <f>P2409/1</f>
        <v>12.3</v>
      </c>
      <c r="W2409" s="744"/>
    </row>
    <row r="2410" spans="6:23" ht="24" customHeight="1">
      <c r="F2410" s="283">
        <v>0.5</v>
      </c>
      <c r="G2410" s="283" t="s">
        <v>1394</v>
      </c>
      <c r="H2410" s="283" t="s">
        <v>2062</v>
      </c>
      <c r="I2410" s="283">
        <f>C15</f>
        <v>866</v>
      </c>
      <c r="J2410" s="374" t="s">
        <v>868</v>
      </c>
      <c r="K2410" s="283">
        <f>(F2410*I2410)</f>
        <v>433</v>
      </c>
      <c r="M2410" s="283">
        <v>4</v>
      </c>
      <c r="N2410" s="283" t="s">
        <v>1873</v>
      </c>
      <c r="O2410" s="374" t="s">
        <v>3685</v>
      </c>
      <c r="P2410" s="283">
        <f>AE13</f>
        <v>797</v>
      </c>
      <c r="Q2410" s="744" t="s">
        <v>1398</v>
      </c>
      <c r="R2410" s="283">
        <f>(M2410*P2410)</f>
        <v>3188</v>
      </c>
      <c r="W2410" s="744"/>
    </row>
    <row r="2411" spans="6:23" ht="24" customHeight="1">
      <c r="F2411" s="283">
        <v>0.5</v>
      </c>
      <c r="G2411" s="283" t="s">
        <v>1394</v>
      </c>
      <c r="H2411" s="283" t="s">
        <v>354</v>
      </c>
      <c r="I2411" s="283">
        <f>I2399</f>
        <v>999</v>
      </c>
      <c r="J2411" s="374" t="s">
        <v>868</v>
      </c>
      <c r="K2411" s="283">
        <f>(F2411*I2411)</f>
        <v>499.5</v>
      </c>
      <c r="M2411" s="283">
        <v>2</v>
      </c>
      <c r="N2411" s="283" t="s">
        <v>1873</v>
      </c>
      <c r="O2411" s="374" t="s">
        <v>3686</v>
      </c>
      <c r="P2411" s="283">
        <f>AE14</f>
        <v>772</v>
      </c>
      <c r="Q2411" s="744" t="s">
        <v>1398</v>
      </c>
      <c r="R2411" s="283">
        <f>(M2411*P2411)</f>
        <v>1544</v>
      </c>
      <c r="W2411" s="744"/>
    </row>
    <row r="2412" spans="6:23" ht="24" customHeight="1">
      <c r="F2412" s="283">
        <v>0.5</v>
      </c>
      <c r="G2412" s="283" t="s">
        <v>2283</v>
      </c>
      <c r="H2412" s="283" t="s">
        <v>654</v>
      </c>
      <c r="I2412" s="283">
        <f>I2400</f>
        <v>651</v>
      </c>
      <c r="J2412" s="374" t="s">
        <v>868</v>
      </c>
      <c r="K2412" s="283">
        <f>(F2412*I2412)</f>
        <v>325.5</v>
      </c>
      <c r="M2412" s="283">
        <v>2</v>
      </c>
      <c r="N2412" s="283" t="s">
        <v>1873</v>
      </c>
      <c r="O2412" s="374" t="s">
        <v>3687</v>
      </c>
      <c r="P2412" s="283">
        <f>AE12</f>
        <v>534</v>
      </c>
      <c r="Q2412" s="744" t="s">
        <v>1398</v>
      </c>
      <c r="R2412" s="283">
        <f>(M2412*P2412)</f>
        <v>1068</v>
      </c>
      <c r="W2412" s="744"/>
    </row>
    <row r="2413" spans="6:23" ht="24" customHeight="1">
      <c r="H2413" s="283" t="s">
        <v>307</v>
      </c>
      <c r="J2413" s="744" t="s">
        <v>67</v>
      </c>
      <c r="K2413" s="283">
        <v>0.25</v>
      </c>
      <c r="O2413" s="374" t="s">
        <v>3688</v>
      </c>
      <c r="Q2413" s="744"/>
      <c r="R2413" s="283">
        <v>20</v>
      </c>
      <c r="W2413" s="744"/>
    </row>
    <row r="2414" spans="6:23" ht="24" customHeight="1">
      <c r="Q2414" s="374"/>
      <c r="R2414" s="785" t="s">
        <v>3689</v>
      </c>
      <c r="W2414" s="744"/>
    </row>
    <row r="2415" spans="6:23" ht="24" customHeight="1">
      <c r="K2415" s="843" t="s">
        <v>146</v>
      </c>
      <c r="O2415" s="374" t="s">
        <v>6130</v>
      </c>
      <c r="Q2415" s="374"/>
      <c r="R2415" s="283">
        <f>SUM(R2392:R2414)</f>
        <v>8156.55</v>
      </c>
      <c r="W2415" s="744"/>
    </row>
    <row r="2416" spans="6:23" ht="26.25" customHeight="1">
      <c r="K2416" s="751">
        <f>SUM(K2409:K2415)</f>
        <v>2198.25</v>
      </c>
      <c r="O2416" s="751"/>
      <c r="P2416" s="751"/>
      <c r="Q2416" s="745"/>
      <c r="R2416" s="748" t="s">
        <v>2055</v>
      </c>
      <c r="W2416" s="744"/>
    </row>
    <row r="2417" spans="6:23" ht="24" customHeight="1">
      <c r="K2417" s="843" t="s">
        <v>146</v>
      </c>
      <c r="O2417" s="751" t="s">
        <v>3225</v>
      </c>
      <c r="P2417" s="751"/>
      <c r="Q2417" s="745"/>
      <c r="R2417" s="750">
        <f>R2415/5.67</f>
        <v>1438.54</v>
      </c>
      <c r="W2417" s="744"/>
    </row>
    <row r="2418" spans="6:23" ht="32.25" customHeight="1">
      <c r="K2418" s="744"/>
      <c r="W2418" s="744"/>
    </row>
    <row r="2419" spans="6:23" ht="24" customHeight="1">
      <c r="K2419" s="744"/>
      <c r="W2419" s="744"/>
    </row>
    <row r="2420" spans="6:23" ht="24" customHeight="1">
      <c r="K2420" s="744"/>
      <c r="W2420" s="744"/>
    </row>
    <row r="2421" spans="6:23" ht="24" customHeight="1">
      <c r="F2421" s="744" t="s">
        <v>935</v>
      </c>
      <c r="G2421" s="744"/>
      <c r="H2421" s="995" t="s">
        <v>344</v>
      </c>
      <c r="I2421" s="995"/>
      <c r="J2421" s="995"/>
      <c r="K2421" s="995"/>
      <c r="W2421" s="744"/>
    </row>
    <row r="2422" spans="6:23" ht="24" customHeight="1">
      <c r="F2422" s="744"/>
      <c r="G2422" s="744"/>
      <c r="H2422" s="744"/>
      <c r="I2422" s="744"/>
      <c r="W2422" s="744"/>
    </row>
    <row r="2423" spans="6:23" ht="24" customHeight="1">
      <c r="F2423" s="283">
        <v>10.5</v>
      </c>
      <c r="G2423" s="283" t="s">
        <v>2283</v>
      </c>
      <c r="H2423" s="994" t="s">
        <v>5334</v>
      </c>
      <c r="I2423" s="283">
        <v>318</v>
      </c>
      <c r="J2423" s="374" t="s">
        <v>2283</v>
      </c>
      <c r="K2423" s="283">
        <f>(F2423*I2423)</f>
        <v>3339</v>
      </c>
      <c r="W2423" s="744"/>
    </row>
    <row r="2424" spans="6:23" ht="24" customHeight="1">
      <c r="H2424" s="994"/>
      <c r="I2424" s="374" t="s">
        <v>975</v>
      </c>
      <c r="K2424" s="374" t="s">
        <v>975</v>
      </c>
      <c r="W2424" s="744"/>
    </row>
    <row r="2425" spans="6:23" ht="24" customHeight="1">
      <c r="F2425" s="283">
        <v>0.22</v>
      </c>
      <c r="G2425" s="283" t="s">
        <v>869</v>
      </c>
      <c r="H2425" s="374" t="s">
        <v>1876</v>
      </c>
      <c r="I2425" s="283">
        <f>K32</f>
        <v>5089.26</v>
      </c>
      <c r="J2425" s="374" t="s">
        <v>869</v>
      </c>
      <c r="K2425" s="283">
        <f>(F2425*I2425)</f>
        <v>1119.6400000000001</v>
      </c>
      <c r="W2425" s="744"/>
    </row>
    <row r="2426" spans="6:23" ht="24" customHeight="1">
      <c r="F2426" s="283">
        <v>64</v>
      </c>
      <c r="G2426" s="283" t="s">
        <v>1645</v>
      </c>
      <c r="H2426" s="374" t="s">
        <v>345</v>
      </c>
      <c r="I2426" s="283">
        <f>C68</f>
        <v>6040</v>
      </c>
      <c r="J2426" s="374" t="s">
        <v>346</v>
      </c>
      <c r="K2426" s="283">
        <f>I2426*F2426/1000</f>
        <v>386.56</v>
      </c>
      <c r="W2426" s="744"/>
    </row>
    <row r="2427" spans="6:23" ht="24" customHeight="1">
      <c r="F2427" s="283">
        <v>4.5</v>
      </c>
      <c r="G2427" s="283" t="s">
        <v>1645</v>
      </c>
      <c r="H2427" s="374" t="s">
        <v>4260</v>
      </c>
      <c r="I2427" s="283">
        <f>C609</f>
        <v>24.93</v>
      </c>
      <c r="J2427" s="374" t="s">
        <v>1645</v>
      </c>
      <c r="K2427" s="283">
        <f>F2427*I2427</f>
        <v>112.19</v>
      </c>
      <c r="W2427" s="744"/>
    </row>
    <row r="2428" spans="6:23" ht="24" customHeight="1">
      <c r="F2428" s="283">
        <v>5.4</v>
      </c>
      <c r="G2428" s="283" t="s">
        <v>769</v>
      </c>
      <c r="H2428" s="374" t="s">
        <v>347</v>
      </c>
      <c r="I2428" s="283">
        <f>C11</f>
        <v>932</v>
      </c>
      <c r="J2428" s="374" t="s">
        <v>769</v>
      </c>
      <c r="K2428" s="283">
        <f>(F2428*I2428)</f>
        <v>5032.8</v>
      </c>
      <c r="M2428" s="744" t="s">
        <v>935</v>
      </c>
      <c r="N2428" s="744"/>
      <c r="O2428" s="1001" t="s">
        <v>2790</v>
      </c>
      <c r="P2428" s="1001"/>
      <c r="Q2428" s="1001"/>
      <c r="R2428" s="1001"/>
      <c r="W2428" s="744"/>
    </row>
    <row r="2429" spans="6:23" ht="24" customHeight="1">
      <c r="F2429" s="283">
        <v>2.16</v>
      </c>
      <c r="G2429" s="283" t="s">
        <v>769</v>
      </c>
      <c r="H2429" s="374" t="s">
        <v>348</v>
      </c>
      <c r="I2429" s="283">
        <f>C12</f>
        <v>651</v>
      </c>
      <c r="J2429" s="374" t="s">
        <v>769</v>
      </c>
      <c r="K2429" s="283">
        <f>(F2429*I2429)</f>
        <v>1406.16</v>
      </c>
      <c r="M2429" s="744"/>
      <c r="N2429" s="744"/>
      <c r="O2429" s="744"/>
      <c r="P2429" s="744"/>
      <c r="Q2429" s="374"/>
      <c r="W2429" s="744"/>
    </row>
    <row r="2430" spans="6:23" ht="24" customHeight="1">
      <c r="F2430" s="283">
        <v>6.5</v>
      </c>
      <c r="G2430" s="283" t="s">
        <v>769</v>
      </c>
      <c r="H2430" s="374" t="s">
        <v>1223</v>
      </c>
      <c r="I2430" s="283">
        <f>C13</f>
        <v>534</v>
      </c>
      <c r="J2430" s="374" t="s">
        <v>769</v>
      </c>
      <c r="K2430" s="283">
        <f>(F2430*I2430)</f>
        <v>3471</v>
      </c>
      <c r="M2430" s="283">
        <v>10.5</v>
      </c>
      <c r="N2430" s="283" t="s">
        <v>2283</v>
      </c>
      <c r="O2430" s="994" t="s">
        <v>5335</v>
      </c>
      <c r="P2430" s="283">
        <v>484</v>
      </c>
      <c r="Q2430" s="374" t="s">
        <v>2283</v>
      </c>
      <c r="R2430" s="283">
        <f>(M2430*P2430)</f>
        <v>5082</v>
      </c>
      <c r="W2430" s="744"/>
    </row>
    <row r="2431" spans="6:23" ht="24" customHeight="1">
      <c r="H2431" s="374"/>
      <c r="J2431" s="374" t="s">
        <v>769</v>
      </c>
      <c r="K2431" s="283">
        <v>0</v>
      </c>
      <c r="O2431" s="994"/>
      <c r="P2431" s="374" t="s">
        <v>975</v>
      </c>
      <c r="Q2431" s="374"/>
      <c r="R2431" s="374" t="s">
        <v>975</v>
      </c>
      <c r="W2431" s="744"/>
    </row>
    <row r="2432" spans="6:23" ht="24" customHeight="1">
      <c r="F2432" s="746"/>
      <c r="M2432" s="283">
        <v>0.22</v>
      </c>
      <c r="N2432" s="283" t="s">
        <v>869</v>
      </c>
      <c r="O2432" s="374" t="s">
        <v>1876</v>
      </c>
      <c r="P2432" s="283">
        <f t="shared" ref="P2432:P2437" si="253">I2425</f>
        <v>5089.26</v>
      </c>
      <c r="Q2432" s="374" t="s">
        <v>869</v>
      </c>
      <c r="R2432" s="283">
        <f>(M2432*P2432)</f>
        <v>1119.6400000000001</v>
      </c>
      <c r="W2432" s="744"/>
    </row>
    <row r="2433" spans="6:23" ht="24" customHeight="1">
      <c r="H2433" s="745" t="s">
        <v>441</v>
      </c>
      <c r="K2433" s="843" t="s">
        <v>146</v>
      </c>
      <c r="M2433" s="283">
        <v>64</v>
      </c>
      <c r="N2433" s="283" t="s">
        <v>1645</v>
      </c>
      <c r="O2433" s="374" t="s">
        <v>345</v>
      </c>
      <c r="P2433" s="283">
        <f t="shared" si="253"/>
        <v>6040</v>
      </c>
      <c r="Q2433" s="374" t="s">
        <v>346</v>
      </c>
      <c r="R2433" s="283">
        <f>P2433*M2433/1000</f>
        <v>386.56</v>
      </c>
      <c r="W2433" s="744"/>
    </row>
    <row r="2434" spans="6:23" ht="24" customHeight="1">
      <c r="H2434" s="745"/>
      <c r="K2434" s="751">
        <f>SUM(K2423:K2431)</f>
        <v>14867.35</v>
      </c>
      <c r="M2434" s="283">
        <v>4.5</v>
      </c>
      <c r="N2434" s="283" t="s">
        <v>1645</v>
      </c>
      <c r="O2434" s="374" t="s">
        <v>2896</v>
      </c>
      <c r="P2434" s="283">
        <f t="shared" si="253"/>
        <v>24.93</v>
      </c>
      <c r="Q2434" s="374" t="s">
        <v>1645</v>
      </c>
      <c r="R2434" s="283">
        <f>M2434*P2434</f>
        <v>112.19</v>
      </c>
      <c r="W2434" s="744"/>
    </row>
    <row r="2435" spans="6:23" ht="24" customHeight="1">
      <c r="H2435" s="745"/>
      <c r="K2435" s="844" t="s">
        <v>1224</v>
      </c>
      <c r="M2435" s="283">
        <v>5.4</v>
      </c>
      <c r="N2435" s="283" t="s">
        <v>769</v>
      </c>
      <c r="O2435" s="374" t="s">
        <v>347</v>
      </c>
      <c r="P2435" s="283">
        <f t="shared" si="253"/>
        <v>932</v>
      </c>
      <c r="Q2435" s="374" t="s">
        <v>769</v>
      </c>
      <c r="R2435" s="283">
        <f>(M2435*P2435)</f>
        <v>5032.8</v>
      </c>
      <c r="W2435" s="744"/>
    </row>
    <row r="2436" spans="6:23" ht="24" customHeight="1">
      <c r="F2436" s="374"/>
      <c r="H2436" s="745" t="s">
        <v>552</v>
      </c>
      <c r="I2436" s="374"/>
      <c r="K2436" s="750">
        <f>K2434/10</f>
        <v>1486.74</v>
      </c>
      <c r="M2436" s="283">
        <v>2.16</v>
      </c>
      <c r="N2436" s="283" t="s">
        <v>769</v>
      </c>
      <c r="O2436" s="374" t="s">
        <v>348</v>
      </c>
      <c r="P2436" s="283">
        <f t="shared" si="253"/>
        <v>651</v>
      </c>
      <c r="Q2436" s="374" t="s">
        <v>769</v>
      </c>
      <c r="R2436" s="283">
        <f>(M2436*P2436)</f>
        <v>1406.16</v>
      </c>
      <c r="W2436" s="744"/>
    </row>
    <row r="2437" spans="6:23" ht="24" customHeight="1">
      <c r="K2437" s="785" t="s">
        <v>146</v>
      </c>
      <c r="M2437" s="283">
        <v>6.5</v>
      </c>
      <c r="N2437" s="283" t="s">
        <v>769</v>
      </c>
      <c r="O2437" s="374" t="s">
        <v>1223</v>
      </c>
      <c r="P2437" s="283">
        <f t="shared" si="253"/>
        <v>534</v>
      </c>
      <c r="Q2437" s="374" t="s">
        <v>769</v>
      </c>
      <c r="R2437" s="283">
        <f>(M2437*P2437)</f>
        <v>3471</v>
      </c>
      <c r="W2437" s="744"/>
    </row>
    <row r="2438" spans="6:23" ht="24" customHeight="1">
      <c r="O2438" s="374"/>
      <c r="Q2438" s="374" t="s">
        <v>769</v>
      </c>
      <c r="R2438" s="283">
        <f>(M2438*P2438)</f>
        <v>0</v>
      </c>
      <c r="W2438" s="744"/>
    </row>
    <row r="2439" spans="6:23" ht="24" customHeight="1">
      <c r="M2439" s="746"/>
      <c r="Q2439" s="374"/>
      <c r="W2439" s="744"/>
    </row>
    <row r="2440" spans="6:23" ht="24" customHeight="1">
      <c r="H2440" s="745" t="s">
        <v>1225</v>
      </c>
      <c r="O2440" s="745" t="s">
        <v>441</v>
      </c>
      <c r="Q2440" s="374"/>
      <c r="R2440" s="843" t="s">
        <v>146</v>
      </c>
      <c r="W2440" s="744"/>
    </row>
    <row r="2441" spans="6:23" ht="24" customHeight="1">
      <c r="O2441" s="745"/>
      <c r="Q2441" s="374"/>
      <c r="R2441" s="751">
        <f>SUM(R2430:R2438)</f>
        <v>16610.349999999999</v>
      </c>
      <c r="W2441" s="744"/>
    </row>
    <row r="2442" spans="6:23" ht="24" customHeight="1">
      <c r="F2442" s="283">
        <v>10</v>
      </c>
      <c r="G2442" s="283" t="s">
        <v>2283</v>
      </c>
      <c r="H2442" s="374" t="s">
        <v>212</v>
      </c>
      <c r="I2442" s="283">
        <f>K1214</f>
        <v>519.73</v>
      </c>
      <c r="J2442" s="374" t="s">
        <v>2283</v>
      </c>
      <c r="K2442" s="283">
        <f>F2442*I2442</f>
        <v>5197.3</v>
      </c>
      <c r="O2442" s="745"/>
      <c r="Q2442" s="374"/>
      <c r="R2442" s="844" t="s">
        <v>1224</v>
      </c>
      <c r="W2442" s="744"/>
    </row>
    <row r="2443" spans="6:23" ht="24" customHeight="1">
      <c r="F2443" s="283">
        <v>9.8000000000000007</v>
      </c>
      <c r="G2443" s="283" t="s">
        <v>1645</v>
      </c>
      <c r="H2443" s="283" t="s">
        <v>3797</v>
      </c>
      <c r="I2443" s="283">
        <f>C149</f>
        <v>145.19999999999999</v>
      </c>
      <c r="J2443" s="374" t="s">
        <v>1645</v>
      </c>
      <c r="K2443" s="283">
        <f>F2443*I2443</f>
        <v>1422.96</v>
      </c>
      <c r="M2443" s="374"/>
      <c r="O2443" s="745" t="s">
        <v>552</v>
      </c>
      <c r="P2443" s="374"/>
      <c r="Q2443" s="374"/>
      <c r="R2443" s="750">
        <f>R2441/10</f>
        <v>1661.04</v>
      </c>
      <c r="W2443" s="744"/>
    </row>
    <row r="2444" spans="6:23" ht="24" customHeight="1">
      <c r="F2444" s="283">
        <v>1.1000000000000001</v>
      </c>
      <c r="G2444" s="283" t="s">
        <v>1873</v>
      </c>
      <c r="H2444" s="374" t="s">
        <v>2009</v>
      </c>
      <c r="I2444" s="283">
        <f>I2411</f>
        <v>999</v>
      </c>
      <c r="J2444" s="374" t="s">
        <v>1398</v>
      </c>
      <c r="K2444" s="283">
        <f>F2444*I2444</f>
        <v>1098.9000000000001</v>
      </c>
      <c r="Q2444" s="374"/>
      <c r="R2444" s="785" t="s">
        <v>146</v>
      </c>
      <c r="W2444" s="744"/>
    </row>
    <row r="2445" spans="6:23" ht="24" customHeight="1">
      <c r="H2445" s="283" t="s">
        <v>2271</v>
      </c>
      <c r="K2445" s="283">
        <v>0.2</v>
      </c>
      <c r="W2445" s="744"/>
    </row>
    <row r="2446" spans="6:23" ht="24" customHeight="1">
      <c r="K2446" s="748" t="s">
        <v>2055</v>
      </c>
      <c r="O2446" s="751" t="s">
        <v>940</v>
      </c>
      <c r="Q2446" s="374"/>
      <c r="W2446" s="744"/>
    </row>
    <row r="2447" spans="6:23" ht="24" customHeight="1">
      <c r="F2447" s="374" t="s">
        <v>975</v>
      </c>
      <c r="H2447" s="745" t="s">
        <v>441</v>
      </c>
      <c r="K2447" s="751">
        <f>SUM(K2442:K2445)</f>
        <v>7719.36</v>
      </c>
      <c r="M2447" s="746">
        <v>7.0999999999999994E-2</v>
      </c>
      <c r="N2447" s="283" t="s">
        <v>367</v>
      </c>
      <c r="O2447" s="283" t="s">
        <v>941</v>
      </c>
      <c r="P2447" s="283">
        <f>Z719</f>
        <v>7888.83</v>
      </c>
      <c r="Q2447" s="374" t="s">
        <v>368</v>
      </c>
      <c r="R2447" s="283">
        <f>P2447*M2447</f>
        <v>560.11</v>
      </c>
      <c r="W2447" s="744"/>
    </row>
    <row r="2448" spans="6:23" ht="24" customHeight="1">
      <c r="K2448" s="785" t="s">
        <v>146</v>
      </c>
      <c r="M2448" s="283">
        <v>1</v>
      </c>
      <c r="N2448" s="283" t="s">
        <v>2196</v>
      </c>
      <c r="O2448" s="283" t="s">
        <v>915</v>
      </c>
      <c r="P2448" s="283">
        <f>I2343</f>
        <v>398.52</v>
      </c>
      <c r="Q2448" s="374" t="s">
        <v>2196</v>
      </c>
      <c r="R2448" s="283">
        <f>P2448*M2448</f>
        <v>398.52</v>
      </c>
      <c r="W2448" s="744"/>
    </row>
    <row r="2449" spans="6:23" ht="24" customHeight="1">
      <c r="F2449" s="374" t="s">
        <v>975</v>
      </c>
      <c r="H2449" s="745" t="s">
        <v>552</v>
      </c>
      <c r="K2449" s="750">
        <f>K2447/10</f>
        <v>771.94</v>
      </c>
      <c r="M2449" s="283" t="s">
        <v>975</v>
      </c>
      <c r="O2449" s="283" t="s">
        <v>369</v>
      </c>
      <c r="Q2449" s="374"/>
      <c r="R2449" s="751">
        <f>SUM(R2447:R2448)</f>
        <v>958.63</v>
      </c>
      <c r="W2449" s="744"/>
    </row>
    <row r="2450" spans="6:23" ht="24" customHeight="1">
      <c r="K2450" s="785" t="s">
        <v>146</v>
      </c>
      <c r="W2450" s="744"/>
    </row>
    <row r="2451" spans="6:23" ht="24" customHeight="1">
      <c r="W2451" s="744"/>
    </row>
    <row r="2452" spans="6:23" ht="24" customHeight="1">
      <c r="W2452" s="744"/>
    </row>
    <row r="2453" spans="6:23" ht="24" customHeight="1">
      <c r="W2453" s="744"/>
    </row>
    <row r="2454" spans="6:23" ht="24" customHeight="1">
      <c r="W2454" s="744"/>
    </row>
    <row r="2455" spans="6:23" ht="24" customHeight="1">
      <c r="H2455" s="751" t="s">
        <v>213</v>
      </c>
      <c r="W2455" s="744"/>
    </row>
    <row r="2456" spans="6:23" ht="24" customHeight="1">
      <c r="W2456" s="744"/>
    </row>
    <row r="2457" spans="6:23" ht="24" customHeight="1">
      <c r="F2457" s="374" t="s">
        <v>214</v>
      </c>
      <c r="G2457" s="374"/>
      <c r="H2457" s="374"/>
      <c r="I2457" s="283">
        <v>15.21</v>
      </c>
      <c r="J2457" s="374" t="s">
        <v>359</v>
      </c>
      <c r="W2457" s="744"/>
    </row>
    <row r="2458" spans="6:23" ht="24" customHeight="1">
      <c r="F2458" s="283" t="s">
        <v>215</v>
      </c>
      <c r="I2458" s="283">
        <v>22.61</v>
      </c>
      <c r="J2458" s="374" t="s">
        <v>359</v>
      </c>
      <c r="W2458" s="744"/>
    </row>
    <row r="2459" spans="6:23" ht="24" customHeight="1">
      <c r="F2459" s="283" t="s">
        <v>511</v>
      </c>
      <c r="I2459" s="283">
        <v>3.24</v>
      </c>
      <c r="J2459" s="374" t="s">
        <v>359</v>
      </c>
      <c r="W2459" s="744"/>
    </row>
    <row r="2460" spans="6:23" ht="24" customHeight="1">
      <c r="F2460" s="283" t="s">
        <v>512</v>
      </c>
      <c r="I2460" s="283">
        <v>2.16</v>
      </c>
      <c r="J2460" s="374" t="s">
        <v>359</v>
      </c>
      <c r="W2460" s="744"/>
    </row>
    <row r="2461" spans="6:23" ht="24" customHeight="1">
      <c r="W2461" s="744"/>
    </row>
    <row r="2462" spans="6:23" ht="24" customHeight="1">
      <c r="I2462" s="785" t="s">
        <v>146</v>
      </c>
      <c r="W2462" s="744"/>
    </row>
    <row r="2463" spans="6:23" ht="24" customHeight="1">
      <c r="I2463" s="283">
        <f>SUM(I2457:I2461)</f>
        <v>43.22</v>
      </c>
      <c r="W2463" s="744"/>
    </row>
    <row r="2464" spans="6:23" ht="24" customHeight="1">
      <c r="I2464" s="283" t="s">
        <v>1685</v>
      </c>
      <c r="W2464" s="744"/>
    </row>
    <row r="2465" spans="6:23" ht="24" customHeight="1">
      <c r="W2465" s="744"/>
    </row>
    <row r="2466" spans="6:23" ht="24" customHeight="1">
      <c r="W2466" s="744"/>
    </row>
    <row r="2467" spans="6:23" ht="24" customHeight="1">
      <c r="F2467" s="283">
        <v>43.22</v>
      </c>
      <c r="G2467" s="283" t="s">
        <v>1645</v>
      </c>
      <c r="H2467" s="283" t="s">
        <v>513</v>
      </c>
      <c r="I2467" s="283">
        <f>C661</f>
        <v>70.150000000000006</v>
      </c>
      <c r="J2467" s="374" t="s">
        <v>1645</v>
      </c>
      <c r="K2467" s="283">
        <f>I2467*F2467</f>
        <v>3031.88</v>
      </c>
      <c r="W2467" s="744"/>
    </row>
    <row r="2468" spans="6:23" ht="24" customHeight="1">
      <c r="F2468" s="283">
        <v>0.81</v>
      </c>
      <c r="G2468" s="283" t="s">
        <v>2283</v>
      </c>
      <c r="H2468" s="283" t="s">
        <v>2122</v>
      </c>
      <c r="I2468" s="283">
        <f>C200</f>
        <v>379.9</v>
      </c>
      <c r="J2468" s="374" t="s">
        <v>2283</v>
      </c>
      <c r="K2468" s="283">
        <f>I2468*F2468</f>
        <v>307.72000000000003</v>
      </c>
      <c r="W2468" s="744"/>
    </row>
    <row r="2469" spans="6:23" ht="24" customHeight="1">
      <c r="F2469" s="283">
        <v>0.81</v>
      </c>
      <c r="G2469" s="283" t="s">
        <v>2283</v>
      </c>
      <c r="H2469" s="283" t="s">
        <v>1951</v>
      </c>
      <c r="I2469" s="283">
        <f>D200</f>
        <v>116.55</v>
      </c>
      <c r="J2469" s="374" t="s">
        <v>2283</v>
      </c>
      <c r="K2469" s="283">
        <f>I2469*F2469</f>
        <v>94.41</v>
      </c>
      <c r="W2469" s="744"/>
    </row>
    <row r="2470" spans="6:23" ht="24" customHeight="1">
      <c r="H2470" s="283" t="s">
        <v>515</v>
      </c>
      <c r="I2470" s="283">
        <f>46.61</f>
        <v>46.61</v>
      </c>
      <c r="J2470" s="374" t="s">
        <v>449</v>
      </c>
      <c r="K2470" s="283">
        <f>I2470</f>
        <v>46.61</v>
      </c>
      <c r="W2470" s="744"/>
    </row>
    <row r="2471" spans="6:23" ht="24" customHeight="1">
      <c r="K2471" s="785" t="s">
        <v>146</v>
      </c>
      <c r="W2471" s="744"/>
    </row>
    <row r="2472" spans="6:23" ht="24" customHeight="1">
      <c r="H2472" s="751" t="s">
        <v>516</v>
      </c>
      <c r="K2472" s="751">
        <f>SUM(K2467:K2470)</f>
        <v>3480.62</v>
      </c>
      <c r="W2472" s="744"/>
    </row>
    <row r="2473" spans="6:23" ht="24" customHeight="1">
      <c r="H2473" s="283">
        <f>0.6*1.35</f>
        <v>0.81</v>
      </c>
      <c r="K2473" s="785" t="s">
        <v>146</v>
      </c>
      <c r="W2473" s="744"/>
    </row>
    <row r="2474" spans="6:23" ht="24" customHeight="1">
      <c r="H2474" s="751" t="s">
        <v>510</v>
      </c>
      <c r="K2474" s="751">
        <f>K2472/H2473</f>
        <v>4297.0600000000004</v>
      </c>
      <c r="W2474" s="744"/>
    </row>
    <row r="2475" spans="6:23" ht="24" customHeight="1">
      <c r="W2475" s="744"/>
    </row>
    <row r="2476" spans="6:23" ht="24" customHeight="1">
      <c r="F2476" s="374" t="s">
        <v>2138</v>
      </c>
      <c r="G2476" s="374"/>
      <c r="H2476" s="374"/>
      <c r="I2476" s="283">
        <v>11.78</v>
      </c>
      <c r="J2476" s="374" t="s">
        <v>359</v>
      </c>
      <c r="W2476" s="744"/>
    </row>
    <row r="2477" spans="6:23" ht="24" customHeight="1">
      <c r="F2477" s="283" t="s">
        <v>1350</v>
      </c>
      <c r="I2477" s="283">
        <v>15.07</v>
      </c>
      <c r="J2477" s="374" t="s">
        <v>359</v>
      </c>
      <c r="W2477" s="744"/>
    </row>
    <row r="2478" spans="6:23" ht="24" customHeight="1">
      <c r="F2478" s="283" t="s">
        <v>2034</v>
      </c>
      <c r="I2478" s="283">
        <v>2.16</v>
      </c>
      <c r="J2478" s="374" t="s">
        <v>359</v>
      </c>
      <c r="W2478" s="744"/>
    </row>
    <row r="2479" spans="6:23" ht="24" customHeight="1">
      <c r="F2479" s="283" t="s">
        <v>512</v>
      </c>
      <c r="I2479" s="283">
        <v>2.16</v>
      </c>
      <c r="J2479" s="374" t="s">
        <v>359</v>
      </c>
      <c r="W2479" s="744"/>
    </row>
    <row r="2480" spans="6:23" ht="24" customHeight="1">
      <c r="F2480" s="283" t="s">
        <v>542</v>
      </c>
      <c r="I2480" s="283">
        <f>1.91-0.08</f>
        <v>1.83</v>
      </c>
      <c r="W2480" s="744"/>
    </row>
    <row r="2481" spans="6:23" ht="24" customHeight="1">
      <c r="I2481" s="785" t="s">
        <v>879</v>
      </c>
      <c r="W2481" s="744"/>
    </row>
    <row r="2482" spans="6:23" ht="24" customHeight="1">
      <c r="I2482" s="751">
        <f>SUM(I2476:I2480)</f>
        <v>33</v>
      </c>
      <c r="J2482" s="374" t="s">
        <v>359</v>
      </c>
      <c r="W2482" s="744"/>
    </row>
    <row r="2483" spans="6:23" ht="24" customHeight="1">
      <c r="I2483" s="785" t="s">
        <v>879</v>
      </c>
      <c r="W2483" s="744"/>
    </row>
    <row r="2484" spans="6:23" ht="24" customHeight="1">
      <c r="W2484" s="744"/>
    </row>
    <row r="2485" spans="6:23" ht="24" customHeight="1">
      <c r="W2485" s="744"/>
    </row>
    <row r="2486" spans="6:23" ht="24" customHeight="1">
      <c r="F2486" s="283">
        <f>I2482</f>
        <v>33</v>
      </c>
      <c r="G2486" s="283" t="s">
        <v>1645</v>
      </c>
      <c r="H2486" s="283" t="s">
        <v>513</v>
      </c>
      <c r="I2486" s="283">
        <f>I2467</f>
        <v>70.150000000000006</v>
      </c>
      <c r="J2486" s="374" t="s">
        <v>1645</v>
      </c>
      <c r="K2486" s="283">
        <f>I2486*F2486</f>
        <v>2314.9499999999998</v>
      </c>
      <c r="W2486" s="744"/>
    </row>
    <row r="2487" spans="6:23" ht="24" customHeight="1">
      <c r="F2487" s="283">
        <v>0.54</v>
      </c>
      <c r="G2487" s="283" t="s">
        <v>2283</v>
      </c>
      <c r="H2487" s="283" t="s">
        <v>2122</v>
      </c>
      <c r="I2487" s="283">
        <f>I2468</f>
        <v>379.9</v>
      </c>
      <c r="J2487" s="374" t="s">
        <v>2283</v>
      </c>
      <c r="K2487" s="283">
        <f>I2487*F2487</f>
        <v>205.15</v>
      </c>
      <c r="W2487" s="744"/>
    </row>
    <row r="2488" spans="6:23" ht="24" customHeight="1">
      <c r="F2488" s="283">
        <v>0.54</v>
      </c>
      <c r="G2488" s="283" t="s">
        <v>2283</v>
      </c>
      <c r="H2488" s="283" t="str">
        <f>H2469</f>
        <v>Fly proof  Mesh</v>
      </c>
      <c r="I2488" s="283">
        <f>I2469</f>
        <v>116.55</v>
      </c>
      <c r="J2488" s="374" t="s">
        <v>2283</v>
      </c>
      <c r="K2488" s="283">
        <f>I2488*F2488</f>
        <v>62.94</v>
      </c>
      <c r="W2488" s="744"/>
    </row>
    <row r="2489" spans="6:23" ht="24" customHeight="1">
      <c r="H2489" s="283" t="s">
        <v>515</v>
      </c>
      <c r="I2489" s="283">
        <v>53.5</v>
      </c>
      <c r="J2489" s="374" t="s">
        <v>449</v>
      </c>
      <c r="K2489" s="283">
        <v>52.8</v>
      </c>
      <c r="W2489" s="744"/>
    </row>
    <row r="2490" spans="6:23" ht="24" customHeight="1">
      <c r="K2490" s="785" t="s">
        <v>146</v>
      </c>
      <c r="W2490" s="744"/>
    </row>
    <row r="2491" spans="6:23" ht="24" customHeight="1">
      <c r="H2491" s="751" t="s">
        <v>516</v>
      </c>
      <c r="K2491" s="751">
        <f>SUM(K2486:K2489)</f>
        <v>2635.84</v>
      </c>
      <c r="W2491" s="744"/>
    </row>
    <row r="2492" spans="6:23" ht="24" customHeight="1">
      <c r="K2492" s="785" t="s">
        <v>146</v>
      </c>
      <c r="W2492" s="744"/>
    </row>
    <row r="2493" spans="6:23" ht="24" customHeight="1">
      <c r="I2493" s="751" t="s">
        <v>2789</v>
      </c>
      <c r="K2493" s="751">
        <f>K2491/0.54</f>
        <v>4881.1899999999996</v>
      </c>
      <c r="W2493" s="744"/>
    </row>
    <row r="2494" spans="6:23" ht="24" customHeight="1">
      <c r="W2494" s="744"/>
    </row>
    <row r="2495" spans="6:23" ht="24" customHeight="1">
      <c r="W2495" s="744"/>
    </row>
    <row r="2496" spans="6:23" ht="24" customHeight="1">
      <c r="H2496" s="751" t="s">
        <v>1993</v>
      </c>
      <c r="W2496" s="744"/>
    </row>
    <row r="2497" spans="6:23" ht="24" customHeight="1">
      <c r="W2497" s="744"/>
    </row>
    <row r="2498" spans="6:23" ht="24" customHeight="1">
      <c r="F2498" s="374" t="s">
        <v>1828</v>
      </c>
      <c r="G2498" s="374"/>
      <c r="H2498" s="374"/>
      <c r="I2498" s="283">
        <v>9.42</v>
      </c>
      <c r="J2498" s="374" t="s">
        <v>359</v>
      </c>
      <c r="K2498" s="374"/>
      <c r="W2498" s="744"/>
    </row>
    <row r="2499" spans="6:23" ht="24" customHeight="1">
      <c r="F2499" s="283" t="s">
        <v>1829</v>
      </c>
      <c r="I2499" s="283">
        <v>9.42</v>
      </c>
      <c r="J2499" s="374" t="s">
        <v>359</v>
      </c>
      <c r="K2499" s="374"/>
      <c r="W2499" s="744"/>
    </row>
    <row r="2500" spans="6:23" ht="24" customHeight="1">
      <c r="F2500" s="283" t="s">
        <v>70</v>
      </c>
      <c r="I2500" s="283">
        <v>1.44</v>
      </c>
      <c r="J2500" s="374" t="s">
        <v>359</v>
      </c>
      <c r="K2500" s="374"/>
      <c r="W2500" s="744"/>
    </row>
    <row r="2501" spans="6:23" ht="24" customHeight="1">
      <c r="F2501" s="283" t="s">
        <v>512</v>
      </c>
      <c r="I2501" s="283">
        <v>2.16</v>
      </c>
      <c r="J2501" s="374" t="s">
        <v>359</v>
      </c>
      <c r="K2501" s="374"/>
      <c r="W2501" s="744"/>
    </row>
    <row r="2502" spans="6:23" ht="24" customHeight="1">
      <c r="F2502" s="283" t="s">
        <v>542</v>
      </c>
      <c r="I2502" s="283">
        <v>1.56</v>
      </c>
      <c r="K2502" s="374"/>
      <c r="W2502" s="744"/>
    </row>
    <row r="2503" spans="6:23" ht="24" customHeight="1">
      <c r="I2503" s="785" t="s">
        <v>879</v>
      </c>
      <c r="K2503" s="374"/>
      <c r="O2503" s="751" t="s">
        <v>2600</v>
      </c>
      <c r="Q2503" s="374"/>
      <c r="W2503" s="744"/>
    </row>
    <row r="2504" spans="6:23" ht="24" customHeight="1">
      <c r="I2504" s="283">
        <f>SUM(I2498:I2502)</f>
        <v>24</v>
      </c>
      <c r="J2504" s="374" t="s">
        <v>359</v>
      </c>
      <c r="K2504" s="374"/>
      <c r="Q2504" s="374"/>
      <c r="W2504" s="744"/>
    </row>
    <row r="2505" spans="6:23" ht="24" customHeight="1">
      <c r="I2505" s="785" t="s">
        <v>879</v>
      </c>
      <c r="M2505" s="374" t="s">
        <v>2601</v>
      </c>
      <c r="N2505" s="374"/>
      <c r="O2505" s="374"/>
      <c r="P2505" s="746">
        <f>3.77*3.9</f>
        <v>14.702999999999999</v>
      </c>
      <c r="Q2505" s="374" t="s">
        <v>359</v>
      </c>
      <c r="R2505" s="374"/>
      <c r="W2505" s="744"/>
    </row>
    <row r="2506" spans="6:23" ht="24" customHeight="1">
      <c r="M2506" s="283" t="s">
        <v>2602</v>
      </c>
      <c r="P2506" s="283">
        <f>12*0.6*3.14</f>
        <v>22.61</v>
      </c>
      <c r="Q2506" s="374" t="s">
        <v>359</v>
      </c>
      <c r="R2506" s="374"/>
      <c r="W2506" s="744"/>
    </row>
    <row r="2507" spans="6:23" ht="24" customHeight="1">
      <c r="M2507" s="283" t="s">
        <v>3227</v>
      </c>
      <c r="P2507" s="283">
        <f>2*1.285*1.2</f>
        <v>3.08</v>
      </c>
      <c r="Q2507" s="374" t="s">
        <v>359</v>
      </c>
      <c r="R2507" s="374"/>
      <c r="W2507" s="744"/>
    </row>
    <row r="2508" spans="6:23" ht="24" customHeight="1">
      <c r="F2508" s="283">
        <v>24</v>
      </c>
      <c r="G2508" s="283" t="s">
        <v>1645</v>
      </c>
      <c r="H2508" s="283" t="s">
        <v>513</v>
      </c>
      <c r="I2508" s="283">
        <f>I2486</f>
        <v>70.150000000000006</v>
      </c>
      <c r="J2508" s="374" t="s">
        <v>1645</v>
      </c>
      <c r="K2508" s="283">
        <f>I2508*F2508</f>
        <v>1683.6</v>
      </c>
      <c r="M2508" s="283" t="s">
        <v>512</v>
      </c>
      <c r="P2508" s="283">
        <f>3*0.6*1.2</f>
        <v>2.16</v>
      </c>
      <c r="Q2508" s="374" t="s">
        <v>359</v>
      </c>
      <c r="R2508" s="374"/>
      <c r="W2508" s="744"/>
    </row>
    <row r="2509" spans="6:23" ht="24" customHeight="1">
      <c r="F2509" s="283">
        <v>0.36</v>
      </c>
      <c r="G2509" s="283" t="s">
        <v>2283</v>
      </c>
      <c r="H2509" s="283" t="s">
        <v>2122</v>
      </c>
      <c r="I2509" s="283">
        <f>I2487</f>
        <v>379.9</v>
      </c>
      <c r="J2509" s="374" t="s">
        <v>2283</v>
      </c>
      <c r="K2509" s="283">
        <f>I2509*F2509</f>
        <v>136.76</v>
      </c>
      <c r="M2509" s="283" t="s">
        <v>542</v>
      </c>
      <c r="P2509" s="283">
        <v>0.16</v>
      </c>
      <c r="Q2509" s="374"/>
      <c r="R2509" s="374"/>
      <c r="W2509" s="744"/>
    </row>
    <row r="2510" spans="6:23" ht="24" customHeight="1">
      <c r="F2510" s="283">
        <v>0.36</v>
      </c>
      <c r="G2510" s="283" t="s">
        <v>2283</v>
      </c>
      <c r="H2510" s="283" t="s">
        <v>514</v>
      </c>
      <c r="I2510" s="283">
        <f>C199</f>
        <v>40.65</v>
      </c>
      <c r="J2510" s="374" t="s">
        <v>2283</v>
      </c>
      <c r="K2510" s="283">
        <f>I2510*F2510</f>
        <v>14.63</v>
      </c>
      <c r="P2510" s="785" t="s">
        <v>879</v>
      </c>
      <c r="Q2510" s="374"/>
      <c r="R2510" s="374"/>
      <c r="W2510" s="744"/>
    </row>
    <row r="2511" spans="6:23" ht="24" customHeight="1">
      <c r="H2511" s="283" t="s">
        <v>571</v>
      </c>
      <c r="I2511" s="283">
        <v>28.34</v>
      </c>
      <c r="J2511" s="374" t="s">
        <v>449</v>
      </c>
      <c r="K2511" s="283">
        <f>28.14</f>
        <v>28.14</v>
      </c>
      <c r="P2511" s="783">
        <f>SUM(P2505:P2509)</f>
        <v>42.713000000000001</v>
      </c>
      <c r="Q2511" s="374" t="s">
        <v>359</v>
      </c>
      <c r="R2511" s="374">
        <f>42.55-42.713</f>
        <v>-0.16</v>
      </c>
      <c r="W2511" s="744"/>
    </row>
    <row r="2512" spans="6:23" ht="24" customHeight="1">
      <c r="K2512" s="785" t="s">
        <v>146</v>
      </c>
      <c r="P2512" s="785" t="s">
        <v>879</v>
      </c>
      <c r="Q2512" s="374"/>
      <c r="W2512" s="744"/>
    </row>
    <row r="2513" spans="6:23" ht="24" customHeight="1">
      <c r="H2513" s="751" t="s">
        <v>516</v>
      </c>
      <c r="K2513" s="751">
        <f>SUM(K2508:K2511)</f>
        <v>1863.13</v>
      </c>
      <c r="Q2513" s="374"/>
      <c r="W2513" s="744"/>
    </row>
    <row r="2514" spans="6:23" ht="24" customHeight="1">
      <c r="K2514" s="785" t="s">
        <v>146</v>
      </c>
      <c r="Q2514" s="374"/>
      <c r="W2514" s="744"/>
    </row>
    <row r="2515" spans="6:23" ht="24" customHeight="1">
      <c r="K2515" s="283">
        <f>0.6*0.6</f>
        <v>0.36</v>
      </c>
      <c r="M2515" s="746">
        <f>P2511</f>
        <v>42.713000000000001</v>
      </c>
      <c r="N2515" s="283" t="s">
        <v>1645</v>
      </c>
      <c r="O2515" s="283" t="s">
        <v>513</v>
      </c>
      <c r="P2515" s="283">
        <f>I2508</f>
        <v>70.150000000000006</v>
      </c>
      <c r="Q2515" s="374" t="s">
        <v>1645</v>
      </c>
      <c r="R2515" s="283">
        <f>P2515*M2515</f>
        <v>2996.32</v>
      </c>
      <c r="W2515" s="744"/>
    </row>
    <row r="2516" spans="6:23" ht="24" customHeight="1">
      <c r="H2516" s="751" t="s">
        <v>1726</v>
      </c>
      <c r="K2516" s="283">
        <f>K2513/K2515</f>
        <v>5175.3599999999997</v>
      </c>
      <c r="M2516" s="283">
        <v>0.77</v>
      </c>
      <c r="N2516" s="283" t="s">
        <v>2283</v>
      </c>
      <c r="O2516" s="283" t="s">
        <v>2122</v>
      </c>
      <c r="P2516" s="283">
        <f>I2509</f>
        <v>379.9</v>
      </c>
      <c r="Q2516" s="374" t="s">
        <v>2283</v>
      </c>
      <c r="R2516" s="283">
        <f>P2516*M2516</f>
        <v>292.52</v>
      </c>
      <c r="W2516" s="744"/>
    </row>
    <row r="2517" spans="6:23" ht="24" customHeight="1">
      <c r="M2517" s="283">
        <v>0.77</v>
      </c>
      <c r="N2517" s="283" t="s">
        <v>2283</v>
      </c>
      <c r="O2517" s="283" t="s">
        <v>514</v>
      </c>
      <c r="P2517" s="283">
        <f>I2510</f>
        <v>40.65</v>
      </c>
      <c r="Q2517" s="374" t="s">
        <v>2283</v>
      </c>
      <c r="R2517" s="283">
        <f>P2517*M2517</f>
        <v>31.3</v>
      </c>
      <c r="W2517" s="744"/>
    </row>
    <row r="2518" spans="6:23" ht="24" customHeight="1">
      <c r="F2518" s="751" t="s">
        <v>438</v>
      </c>
      <c r="G2518" s="751"/>
      <c r="O2518" s="283" t="s">
        <v>571</v>
      </c>
      <c r="P2518" s="283">
        <f>I2511</f>
        <v>28.34</v>
      </c>
      <c r="Q2518" s="374" t="s">
        <v>449</v>
      </c>
      <c r="R2518" s="283">
        <f>28.34+0.11</f>
        <v>28.45</v>
      </c>
      <c r="W2518" s="744"/>
    </row>
    <row r="2519" spans="6:23" ht="24" customHeight="1">
      <c r="Q2519" s="374"/>
      <c r="R2519" s="785" t="s">
        <v>146</v>
      </c>
      <c r="W2519" s="744"/>
    </row>
    <row r="2520" spans="6:23" ht="24" customHeight="1">
      <c r="F2520" s="283" t="s">
        <v>795</v>
      </c>
      <c r="I2520" s="283">
        <v>3.93</v>
      </c>
      <c r="J2520" s="374" t="s">
        <v>1645</v>
      </c>
      <c r="O2520" s="751" t="s">
        <v>516</v>
      </c>
      <c r="Q2520" s="374"/>
      <c r="R2520" s="751">
        <f>SUM(R2515:R2518)</f>
        <v>3348.59</v>
      </c>
      <c r="W2520" s="744"/>
    </row>
    <row r="2521" spans="6:23" ht="24" customHeight="1">
      <c r="F2521" s="283" t="s">
        <v>2231</v>
      </c>
      <c r="I2521" s="283">
        <v>3.14</v>
      </c>
      <c r="J2521" s="374" t="s">
        <v>1645</v>
      </c>
      <c r="Q2521" s="374"/>
      <c r="R2521" s="785" t="s">
        <v>146</v>
      </c>
      <c r="W2521" s="744"/>
    </row>
    <row r="2522" spans="6:23" ht="24" customHeight="1">
      <c r="F2522" s="283" t="s">
        <v>210</v>
      </c>
      <c r="I2522" s="283">
        <v>1.18</v>
      </c>
      <c r="J2522" s="374" t="s">
        <v>1645</v>
      </c>
      <c r="O2522" s="750" t="s">
        <v>2789</v>
      </c>
      <c r="Q2522" s="374"/>
      <c r="R2522" s="751">
        <f>R2520/M2516</f>
        <v>4348.82</v>
      </c>
      <c r="W2522" s="744"/>
    </row>
    <row r="2523" spans="6:23" ht="24" customHeight="1">
      <c r="N2523" s="283">
        <f>1.285*0.6</f>
        <v>0.77</v>
      </c>
      <c r="W2523" s="744"/>
    </row>
    <row r="2524" spans="6:23" ht="24" customHeight="1">
      <c r="W2524" s="744"/>
    </row>
    <row r="2525" spans="6:23" ht="24" customHeight="1">
      <c r="H2525" s="751" t="s">
        <v>1726</v>
      </c>
      <c r="W2525" s="744"/>
    </row>
    <row r="2526" spans="6:23" ht="24" customHeight="1">
      <c r="W2526" s="744"/>
    </row>
    <row r="2527" spans="6:23" ht="24" customHeight="1">
      <c r="W2527" s="744"/>
    </row>
    <row r="2528" spans="6:23" ht="24" customHeight="1">
      <c r="F2528" s="283" t="s">
        <v>1469</v>
      </c>
      <c r="I2528" s="283">
        <v>24.34</v>
      </c>
      <c r="J2528" s="374" t="s">
        <v>1645</v>
      </c>
      <c r="W2528" s="744"/>
    </row>
    <row r="2529" spans="6:23" ht="24" customHeight="1">
      <c r="F2529" s="283" t="s">
        <v>110</v>
      </c>
      <c r="I2529" s="283">
        <v>11.78</v>
      </c>
      <c r="J2529" s="374" t="s">
        <v>1645</v>
      </c>
      <c r="W2529" s="744"/>
    </row>
    <row r="2530" spans="6:23" ht="24" customHeight="1">
      <c r="F2530" s="283" t="s">
        <v>574</v>
      </c>
      <c r="I2530" s="283">
        <v>59.35</v>
      </c>
      <c r="J2530" s="374" t="s">
        <v>1645</v>
      </c>
      <c r="W2530" s="744"/>
    </row>
    <row r="2531" spans="6:23" ht="24" customHeight="1">
      <c r="F2531" s="283" t="s">
        <v>575</v>
      </c>
      <c r="I2531" s="283">
        <v>5.04</v>
      </c>
      <c r="J2531" s="374" t="s">
        <v>1645</v>
      </c>
      <c r="W2531" s="744"/>
    </row>
    <row r="2532" spans="6:23" ht="24" customHeight="1">
      <c r="F2532" s="283" t="s">
        <v>576</v>
      </c>
      <c r="I2532" s="283">
        <v>4.8</v>
      </c>
      <c r="J2532" s="374" t="s">
        <v>1645</v>
      </c>
      <c r="W2532" s="744"/>
    </row>
    <row r="2533" spans="6:23" ht="24" customHeight="1">
      <c r="F2533" s="283" t="s">
        <v>577</v>
      </c>
      <c r="I2533" s="283">
        <v>2.69</v>
      </c>
      <c r="W2533" s="744"/>
    </row>
    <row r="2534" spans="6:23" ht="24" customHeight="1">
      <c r="I2534" s="785" t="s">
        <v>879</v>
      </c>
      <c r="W2534" s="744"/>
    </row>
    <row r="2535" spans="6:23" ht="24" customHeight="1">
      <c r="I2535" s="751">
        <f>SUM(I2528:I2533)</f>
        <v>108</v>
      </c>
      <c r="J2535" s="374" t="s">
        <v>1645</v>
      </c>
      <c r="W2535" s="744"/>
    </row>
    <row r="2536" spans="6:23" ht="24" customHeight="1">
      <c r="I2536" s="785" t="s">
        <v>879</v>
      </c>
      <c r="W2536" s="744"/>
    </row>
    <row r="2537" spans="6:23" ht="24" customHeight="1">
      <c r="L2537" s="283" t="s">
        <v>1696</v>
      </c>
      <c r="W2537" s="744"/>
    </row>
    <row r="2538" spans="6:23" ht="24" customHeight="1">
      <c r="F2538" s="283">
        <v>108</v>
      </c>
      <c r="G2538" s="283" t="s">
        <v>1645</v>
      </c>
      <c r="H2538" s="283" t="s">
        <v>578</v>
      </c>
      <c r="I2538" s="283">
        <f>I2467</f>
        <v>70.150000000000006</v>
      </c>
      <c r="J2538" s="374" t="s">
        <v>1645</v>
      </c>
      <c r="K2538" s="283">
        <f>F2538*I2538</f>
        <v>7576.2</v>
      </c>
      <c r="W2538" s="744"/>
    </row>
    <row r="2539" spans="6:23" ht="24" customHeight="1">
      <c r="F2539" s="283">
        <v>2.1</v>
      </c>
      <c r="G2539" s="283" t="s">
        <v>2283</v>
      </c>
      <c r="H2539" s="283" t="s">
        <v>2122</v>
      </c>
      <c r="I2539" s="283">
        <f>I2468</f>
        <v>379.9</v>
      </c>
      <c r="J2539" s="374" t="s">
        <v>2283</v>
      </c>
      <c r="K2539" s="283">
        <f>F2539*I2539</f>
        <v>797.79</v>
      </c>
      <c r="L2539" s="746">
        <v>42.713000000000001</v>
      </c>
      <c r="W2539" s="744"/>
    </row>
    <row r="2540" spans="6:23" ht="24" customHeight="1">
      <c r="F2540" s="283">
        <v>2.1</v>
      </c>
      <c r="G2540" s="283" t="s">
        <v>2283</v>
      </c>
      <c r="H2540" s="283" t="s">
        <v>1952</v>
      </c>
      <c r="I2540" s="283">
        <f>I2469</f>
        <v>116.55</v>
      </c>
      <c r="J2540" s="374" t="s">
        <v>2283</v>
      </c>
      <c r="K2540" s="283">
        <f>F2540*I2540</f>
        <v>244.76</v>
      </c>
      <c r="L2540" s="283">
        <v>0.77</v>
      </c>
      <c r="W2540" s="744"/>
    </row>
    <row r="2541" spans="6:23" ht="24" customHeight="1">
      <c r="H2541" s="283" t="s">
        <v>123</v>
      </c>
      <c r="I2541" s="283">
        <v>267.10000000000002</v>
      </c>
      <c r="J2541" s="374" t="s">
        <v>449</v>
      </c>
      <c r="K2541" s="283">
        <f>I2541</f>
        <v>267.10000000000002</v>
      </c>
      <c r="L2541" s="283">
        <v>0.77</v>
      </c>
      <c r="W2541" s="744"/>
    </row>
    <row r="2542" spans="6:23" ht="24" customHeight="1">
      <c r="K2542" s="785" t="s">
        <v>146</v>
      </c>
      <c r="W2542" s="744"/>
    </row>
    <row r="2543" spans="6:23" ht="24" customHeight="1">
      <c r="K2543" s="283">
        <f>SUM(K2538:K2541)</f>
        <v>8885.85</v>
      </c>
      <c r="W2543" s="744"/>
    </row>
    <row r="2544" spans="6:23" ht="24" customHeight="1">
      <c r="H2544" s="283" t="s">
        <v>124</v>
      </c>
      <c r="I2544" s="283">
        <v>500</v>
      </c>
      <c r="J2544" s="374" t="s">
        <v>449</v>
      </c>
      <c r="K2544" s="283">
        <f>I2544</f>
        <v>500</v>
      </c>
      <c r="W2544" s="744"/>
    </row>
    <row r="2545" spans="6:23" ht="24" customHeight="1">
      <c r="K2545" s="785" t="s">
        <v>146</v>
      </c>
      <c r="W2545" s="744"/>
    </row>
    <row r="2546" spans="6:23" ht="24" customHeight="1">
      <c r="H2546" s="751" t="s">
        <v>125</v>
      </c>
      <c r="K2546" s="751">
        <f>SUM(K2543:K2544)</f>
        <v>9385.85</v>
      </c>
      <c r="W2546" s="744"/>
    </row>
    <row r="2547" spans="6:23" ht="24" customHeight="1">
      <c r="K2547" s="785" t="s">
        <v>146</v>
      </c>
      <c r="W2547" s="744"/>
    </row>
    <row r="2548" spans="6:23" ht="24" customHeight="1">
      <c r="W2548" s="744"/>
    </row>
    <row r="2549" spans="6:23" ht="24" customHeight="1">
      <c r="K2549" s="283">
        <f>8054-K2546</f>
        <v>-1331.85</v>
      </c>
      <c r="W2549" s="744"/>
    </row>
    <row r="2550" spans="6:23" ht="24" customHeight="1">
      <c r="W2550" s="744"/>
    </row>
    <row r="2551" spans="6:23" ht="24" customHeight="1">
      <c r="H2551" s="751" t="s">
        <v>11</v>
      </c>
      <c r="W2551" s="744"/>
    </row>
    <row r="2552" spans="6:23" ht="24" customHeight="1">
      <c r="W2552" s="744"/>
    </row>
    <row r="2553" spans="6:23" ht="24" customHeight="1">
      <c r="F2553" s="751" t="s">
        <v>438</v>
      </c>
      <c r="G2553" s="751"/>
      <c r="W2553" s="744"/>
    </row>
    <row r="2554" spans="6:23" ht="24" customHeight="1">
      <c r="W2554" s="744"/>
    </row>
    <row r="2555" spans="6:23" ht="24" customHeight="1">
      <c r="F2555" s="283" t="s">
        <v>815</v>
      </c>
      <c r="I2555" s="746">
        <v>2.944</v>
      </c>
      <c r="J2555" s="374" t="s">
        <v>1645</v>
      </c>
      <c r="W2555" s="744"/>
    </row>
    <row r="2556" spans="6:23" ht="24" customHeight="1">
      <c r="F2556" s="283" t="s">
        <v>1263</v>
      </c>
      <c r="I2556" s="746">
        <v>2.355</v>
      </c>
      <c r="J2556" s="374" t="s">
        <v>1645</v>
      </c>
      <c r="W2556" s="744"/>
    </row>
    <row r="2557" spans="6:23" ht="24" customHeight="1">
      <c r="F2557" s="283" t="s">
        <v>1236</v>
      </c>
      <c r="I2557" s="746">
        <v>0.88300000000000001</v>
      </c>
      <c r="J2557" s="374" t="s">
        <v>1645</v>
      </c>
      <c r="W2557" s="744"/>
    </row>
    <row r="2558" spans="6:23" ht="24" customHeight="1">
      <c r="W2558" s="744"/>
    </row>
    <row r="2559" spans="6:23" ht="24" customHeight="1">
      <c r="W2559" s="744"/>
    </row>
    <row r="2560" spans="6:23" ht="24" customHeight="1">
      <c r="H2560" s="751" t="s">
        <v>11</v>
      </c>
      <c r="W2560" s="744"/>
    </row>
    <row r="2561" spans="6:23" ht="24" customHeight="1">
      <c r="W2561" s="744"/>
    </row>
    <row r="2562" spans="6:23" ht="24" customHeight="1">
      <c r="N2562" s="845">
        <v>24.1</v>
      </c>
      <c r="O2562" s="751" t="s">
        <v>2600</v>
      </c>
      <c r="Q2562" s="374"/>
      <c r="W2562" s="744"/>
    </row>
    <row r="2563" spans="6:23" ht="24" customHeight="1">
      <c r="F2563" s="283" t="s">
        <v>1222</v>
      </c>
      <c r="I2563" s="283">
        <v>16.38</v>
      </c>
      <c r="J2563" s="374" t="s">
        <v>1645</v>
      </c>
      <c r="N2563" s="748" t="s">
        <v>2055</v>
      </c>
      <c r="O2563" s="843"/>
      <c r="Q2563" s="374"/>
      <c r="W2563" s="744"/>
    </row>
    <row r="2564" spans="6:23" ht="24" customHeight="1">
      <c r="F2564" s="283" t="s">
        <v>1229</v>
      </c>
      <c r="I2564" s="283">
        <v>8.7799999999999994</v>
      </c>
      <c r="J2564" s="374" t="s">
        <v>1645</v>
      </c>
      <c r="M2564" s="374" t="s">
        <v>2449</v>
      </c>
      <c r="N2564" s="374"/>
      <c r="O2564" s="374"/>
      <c r="P2564" s="283">
        <v>14.8</v>
      </c>
      <c r="Q2564" s="374" t="s">
        <v>359</v>
      </c>
      <c r="W2564" s="744"/>
    </row>
    <row r="2565" spans="6:23" ht="24" customHeight="1">
      <c r="F2565" s="283" t="s">
        <v>1605</v>
      </c>
      <c r="I2565" s="283">
        <v>37.67</v>
      </c>
      <c r="J2565" s="374" t="s">
        <v>1645</v>
      </c>
      <c r="M2565" s="283" t="s">
        <v>215</v>
      </c>
      <c r="P2565" s="283">
        <v>22.61</v>
      </c>
      <c r="Q2565" s="374" t="s">
        <v>359</v>
      </c>
      <c r="W2565" s="744"/>
    </row>
    <row r="2566" spans="6:23" ht="24" customHeight="1">
      <c r="F2566" s="283" t="s">
        <v>1661</v>
      </c>
      <c r="I2566" s="283">
        <v>3.24</v>
      </c>
      <c r="J2566" s="374" t="s">
        <v>1645</v>
      </c>
      <c r="M2566" s="283" t="s">
        <v>511</v>
      </c>
      <c r="P2566" s="283">
        <v>3.24</v>
      </c>
      <c r="Q2566" s="374" t="s">
        <v>359</v>
      </c>
      <c r="W2566" s="744"/>
    </row>
    <row r="2567" spans="6:23" ht="24" customHeight="1">
      <c r="F2567" s="283" t="s">
        <v>433</v>
      </c>
      <c r="I2567" s="283">
        <v>3.6</v>
      </c>
      <c r="J2567" s="374" t="s">
        <v>1645</v>
      </c>
      <c r="M2567" s="283" t="s">
        <v>512</v>
      </c>
      <c r="P2567" s="283">
        <v>2.16</v>
      </c>
      <c r="Q2567" s="374" t="s">
        <v>359</v>
      </c>
      <c r="W2567" s="744"/>
    </row>
    <row r="2568" spans="6:23" ht="24" customHeight="1">
      <c r="F2568" s="283" t="s">
        <v>577</v>
      </c>
      <c r="I2568" s="283">
        <v>2.88</v>
      </c>
      <c r="Q2568" s="374"/>
      <c r="W2568" s="744"/>
    </row>
    <row r="2569" spans="6:23" ht="24" customHeight="1">
      <c r="I2569" s="785" t="s">
        <v>879</v>
      </c>
      <c r="P2569" s="785" t="s">
        <v>146</v>
      </c>
      <c r="Q2569" s="374"/>
      <c r="W2569" s="744"/>
    </row>
    <row r="2570" spans="6:23" ht="24" customHeight="1">
      <c r="I2570" s="751">
        <f>SUM(I2563:I2568)</f>
        <v>72.55</v>
      </c>
      <c r="J2570" s="374" t="s">
        <v>1645</v>
      </c>
      <c r="P2570" s="283">
        <f>SUM(P2564:P2568)</f>
        <v>42.81</v>
      </c>
      <c r="Q2570" s="374"/>
      <c r="W2570" s="744"/>
    </row>
    <row r="2571" spans="6:23" ht="24" customHeight="1">
      <c r="I2571" s="785" t="s">
        <v>879</v>
      </c>
      <c r="P2571" s="283" t="s">
        <v>1685</v>
      </c>
      <c r="Q2571" s="374"/>
      <c r="W2571" s="744"/>
    </row>
    <row r="2572" spans="6:23" ht="24" customHeight="1">
      <c r="Q2572" s="374"/>
      <c r="W2572" s="744"/>
    </row>
    <row r="2573" spans="6:23" ht="24" customHeight="1">
      <c r="F2573" s="283">
        <v>72.55</v>
      </c>
      <c r="G2573" s="283" t="s">
        <v>1645</v>
      </c>
      <c r="H2573" s="283" t="s">
        <v>578</v>
      </c>
      <c r="I2573" s="283">
        <f>I2538</f>
        <v>70.150000000000006</v>
      </c>
      <c r="J2573" s="374" t="s">
        <v>1645</v>
      </c>
      <c r="K2573" s="283">
        <f>F2573*I2573</f>
        <v>5089.38</v>
      </c>
      <c r="Q2573" s="374"/>
      <c r="W2573" s="744"/>
    </row>
    <row r="2574" spans="6:23" ht="24" customHeight="1">
      <c r="F2574" s="283">
        <v>1.01</v>
      </c>
      <c r="G2574" s="283" t="s">
        <v>2283</v>
      </c>
      <c r="H2574" s="283" t="s">
        <v>2122</v>
      </c>
      <c r="I2574" s="283">
        <f>I2539</f>
        <v>379.9</v>
      </c>
      <c r="J2574" s="374" t="s">
        <v>2283</v>
      </c>
      <c r="K2574" s="283">
        <f>F2574*I2574</f>
        <v>383.7</v>
      </c>
      <c r="M2574" s="283">
        <v>42.81</v>
      </c>
      <c r="N2574" s="283" t="s">
        <v>1645</v>
      </c>
      <c r="O2574" s="283" t="s">
        <v>4079</v>
      </c>
      <c r="P2574" s="283">
        <f>I2573</f>
        <v>70.150000000000006</v>
      </c>
      <c r="Q2574" s="374" t="s">
        <v>1645</v>
      </c>
      <c r="R2574" s="283">
        <f>P2574*M2574</f>
        <v>3003.12</v>
      </c>
      <c r="W2574" s="744"/>
    </row>
    <row r="2575" spans="6:23" ht="24" customHeight="1">
      <c r="F2575" s="283">
        <v>1.01</v>
      </c>
      <c r="G2575" s="283" t="s">
        <v>2283</v>
      </c>
      <c r="H2575" s="283" t="str">
        <f>H2540</f>
        <v>Fly proof mesh</v>
      </c>
      <c r="I2575" s="283">
        <f>I2540</f>
        <v>116.55</v>
      </c>
      <c r="J2575" s="374" t="s">
        <v>2283</v>
      </c>
      <c r="K2575" s="283">
        <f>F2575*I2575</f>
        <v>117.72</v>
      </c>
      <c r="M2575" s="283">
        <v>0.77</v>
      </c>
      <c r="N2575" s="283" t="s">
        <v>2283</v>
      </c>
      <c r="O2575" s="283" t="s">
        <v>2450</v>
      </c>
      <c r="P2575" s="283">
        <f>I2574</f>
        <v>379.9</v>
      </c>
      <c r="Q2575" s="374" t="s">
        <v>2283</v>
      </c>
      <c r="R2575" s="283">
        <f>P2575*M2575</f>
        <v>292.52</v>
      </c>
      <c r="W2575" s="744"/>
    </row>
    <row r="2576" spans="6:23" ht="24" customHeight="1">
      <c r="H2576" s="283" t="s">
        <v>123</v>
      </c>
      <c r="I2576" s="283">
        <v>266.49</v>
      </c>
      <c r="J2576" s="374" t="s">
        <v>449</v>
      </c>
      <c r="K2576" s="283">
        <f>I2576</f>
        <v>266.49</v>
      </c>
      <c r="M2576" s="283">
        <v>0.77</v>
      </c>
      <c r="N2576" s="283" t="s">
        <v>2283</v>
      </c>
      <c r="O2576" s="283" t="s">
        <v>4268</v>
      </c>
      <c r="P2576" s="283">
        <f>I2575</f>
        <v>116.55</v>
      </c>
      <c r="Q2576" s="374" t="s">
        <v>2283</v>
      </c>
      <c r="R2576" s="283">
        <f>P2576*M2576</f>
        <v>89.74</v>
      </c>
      <c r="W2576" s="744"/>
    </row>
    <row r="2577" spans="6:23" ht="24" customHeight="1">
      <c r="K2577" s="785" t="s">
        <v>146</v>
      </c>
      <c r="O2577" s="283" t="s">
        <v>515</v>
      </c>
      <c r="P2577" s="283">
        <f>46.62+0.48</f>
        <v>47.1</v>
      </c>
      <c r="Q2577" s="374" t="s">
        <v>449</v>
      </c>
      <c r="R2577" s="283">
        <f>P2577</f>
        <v>47.1</v>
      </c>
      <c r="W2577" s="744"/>
    </row>
    <row r="2578" spans="6:23" ht="24" customHeight="1">
      <c r="K2578" s="283">
        <f>SUM(K2573:K2576)</f>
        <v>5857.29</v>
      </c>
      <c r="Q2578" s="374"/>
      <c r="R2578" s="785" t="s">
        <v>146</v>
      </c>
      <c r="W2578" s="744"/>
    </row>
    <row r="2579" spans="6:23" ht="24" customHeight="1">
      <c r="H2579" s="283" t="s">
        <v>124</v>
      </c>
      <c r="I2579" s="283">
        <v>255</v>
      </c>
      <c r="J2579" s="374" t="s">
        <v>449</v>
      </c>
      <c r="K2579" s="283">
        <v>255</v>
      </c>
      <c r="O2579" s="751" t="s">
        <v>516</v>
      </c>
      <c r="Q2579" s="374"/>
      <c r="R2579" s="751">
        <f>SUM(R2574:R2577)</f>
        <v>3432.48</v>
      </c>
      <c r="W2579" s="744"/>
    </row>
    <row r="2580" spans="6:23" ht="24" customHeight="1">
      <c r="K2580" s="785" t="s">
        <v>146</v>
      </c>
      <c r="Q2580" s="374"/>
      <c r="R2580" s="785" t="s">
        <v>146</v>
      </c>
      <c r="W2580" s="744"/>
    </row>
    <row r="2581" spans="6:23" ht="24" customHeight="1">
      <c r="H2581" s="751" t="s">
        <v>125</v>
      </c>
      <c r="K2581" s="751">
        <f>SUM(K2578:K2579)</f>
        <v>6112.29</v>
      </c>
      <c r="O2581" s="283">
        <f>1.285*0.6</f>
        <v>0.77</v>
      </c>
      <c r="Q2581" s="374"/>
      <c r="R2581" s="283">
        <f>R2579/O2581</f>
        <v>4457.7700000000004</v>
      </c>
      <c r="W2581" s="744"/>
    </row>
    <row r="2582" spans="6:23" ht="24" customHeight="1">
      <c r="K2582" s="785" t="s">
        <v>146</v>
      </c>
      <c r="M2582" s="283">
        <f>I2575</f>
        <v>116.55</v>
      </c>
      <c r="O2582" s="374">
        <f>M2582*L2541</f>
        <v>89.74</v>
      </c>
      <c r="W2582" s="744"/>
    </row>
    <row r="2583" spans="6:23" ht="24" customHeight="1">
      <c r="O2583" s="374">
        <v>0.8</v>
      </c>
      <c r="W2583" s="744"/>
    </row>
    <row r="2584" spans="6:23" ht="24" customHeight="1">
      <c r="K2584" s="283">
        <f>5261-K2581</f>
        <v>-851.29</v>
      </c>
      <c r="O2584" s="374">
        <f>SUM(O2580:O2583)</f>
        <v>91.31</v>
      </c>
      <c r="W2584" s="744"/>
    </row>
    <row r="2585" spans="6:23" ht="24" customHeight="1">
      <c r="O2585" s="374">
        <f>O2584/0.77</f>
        <v>118.58</v>
      </c>
      <c r="W2585" s="744"/>
    </row>
    <row r="2586" spans="6:23" ht="24" customHeight="1">
      <c r="H2586" s="751" t="s">
        <v>11</v>
      </c>
      <c r="W2586" s="744"/>
    </row>
    <row r="2587" spans="6:23" ht="24" customHeight="1">
      <c r="W2587" s="744"/>
    </row>
    <row r="2588" spans="6:23" ht="24" customHeight="1">
      <c r="F2588" s="751" t="s">
        <v>438</v>
      </c>
      <c r="G2588" s="751"/>
      <c r="U2588" s="283" t="s">
        <v>3735</v>
      </c>
      <c r="W2588" s="744"/>
    </row>
    <row r="2589" spans="6:23" ht="24" customHeight="1">
      <c r="W2589" s="744"/>
    </row>
    <row r="2590" spans="6:23" ht="24" customHeight="1">
      <c r="F2590" s="283" t="s">
        <v>815</v>
      </c>
      <c r="I2590" s="746">
        <v>2.944</v>
      </c>
      <c r="J2590" s="374" t="s">
        <v>1645</v>
      </c>
      <c r="S2590" s="746" t="s">
        <v>2482</v>
      </c>
      <c r="V2590" s="846">
        <f>2*0.85*2.025</f>
        <v>3.4424999999999999</v>
      </c>
      <c r="W2590" s="744"/>
    </row>
    <row r="2591" spans="6:23" ht="24" customHeight="1">
      <c r="F2591" s="283" t="s">
        <v>1263</v>
      </c>
      <c r="I2591" s="746">
        <v>2.355</v>
      </c>
      <c r="J2591" s="374" t="s">
        <v>1645</v>
      </c>
      <c r="S2591" s="746" t="s">
        <v>1932</v>
      </c>
      <c r="V2591" s="846">
        <v>2.2800000000000001E-2</v>
      </c>
      <c r="W2591" s="744"/>
    </row>
    <row r="2592" spans="6:23" ht="24" customHeight="1">
      <c r="F2592" s="283" t="s">
        <v>1236</v>
      </c>
      <c r="I2592" s="746">
        <v>0.88300000000000001</v>
      </c>
      <c r="J2592" s="374" t="s">
        <v>1645</v>
      </c>
      <c r="S2592" s="746" t="s">
        <v>2483</v>
      </c>
      <c r="V2592" s="783">
        <f>2*3*0.85*0.15*0.0375</f>
        <v>2.87E-2</v>
      </c>
      <c r="W2592" s="744"/>
    </row>
    <row r="2593" spans="6:33" ht="24" customHeight="1">
      <c r="T2593" s="283" t="s">
        <v>2484</v>
      </c>
      <c r="V2593" s="783">
        <f>2*3*0.85*0.075*0.0375</f>
        <v>1.43E-2</v>
      </c>
      <c r="W2593" s="744"/>
    </row>
    <row r="2594" spans="6:33" ht="24" customHeight="1">
      <c r="V2594" s="847">
        <f>SUM(V2592:V2593)</f>
        <v>4.2999999999999997E-2</v>
      </c>
      <c r="W2594" s="744"/>
    </row>
    <row r="2595" spans="6:33" ht="24" customHeight="1">
      <c r="H2595" s="751" t="s">
        <v>11</v>
      </c>
      <c r="W2595" s="744"/>
    </row>
    <row r="2596" spans="6:33" ht="24" customHeight="1">
      <c r="W2596" s="744"/>
    </row>
    <row r="2597" spans="6:33" ht="24" customHeight="1">
      <c r="S2597" s="746" t="s">
        <v>2485</v>
      </c>
      <c r="V2597" s="783">
        <f>2*4*0.725*0.3*0.01875</f>
        <v>3.2599999999999997E-2</v>
      </c>
      <c r="W2597" s="744"/>
    </row>
    <row r="2598" spans="6:33" ht="24" customHeight="1">
      <c r="F2598" s="283" t="s">
        <v>1222</v>
      </c>
      <c r="I2598" s="283">
        <v>16.38</v>
      </c>
      <c r="J2598" s="374" t="s">
        <v>1645</v>
      </c>
      <c r="S2598" s="746" t="s">
        <v>2486</v>
      </c>
      <c r="V2598" s="783">
        <f>2*0.725*0.3*0.01875</f>
        <v>8.2000000000000007E-3</v>
      </c>
      <c r="W2598" s="744"/>
    </row>
    <row r="2599" spans="6:33" ht="24" customHeight="1">
      <c r="F2599" s="283" t="s">
        <v>1229</v>
      </c>
      <c r="I2599" s="283">
        <v>8.7799999999999994</v>
      </c>
      <c r="J2599" s="374" t="s">
        <v>1645</v>
      </c>
      <c r="V2599" s="847">
        <f>SUM(V2597:V2598)</f>
        <v>4.0800000000000003E-2</v>
      </c>
      <c r="W2599" s="744"/>
    </row>
    <row r="2600" spans="6:33" ht="24" customHeight="1">
      <c r="F2600" s="283" t="s">
        <v>1605</v>
      </c>
      <c r="I2600" s="283">
        <v>37.67</v>
      </c>
      <c r="J2600" s="374" t="s">
        <v>1645</v>
      </c>
      <c r="U2600" s="751" t="s">
        <v>1622</v>
      </c>
      <c r="W2600" s="744"/>
      <c r="Y2600" s="783">
        <v>2.3099999999999999E-2</v>
      </c>
      <c r="Z2600" s="283">
        <f>Y2600*V2602</f>
        <v>2577.96</v>
      </c>
    </row>
    <row r="2601" spans="6:33" ht="24" customHeight="1">
      <c r="F2601" s="283" t="s">
        <v>1661</v>
      </c>
      <c r="I2601" s="283">
        <v>3.24</v>
      </c>
      <c r="J2601" s="374" t="s">
        <v>1645</v>
      </c>
      <c r="W2601" s="744"/>
      <c r="Y2601" s="783">
        <v>4.48E-2</v>
      </c>
      <c r="Z2601" s="283">
        <f>Y2601*V2603</f>
        <v>4453.12</v>
      </c>
    </row>
    <row r="2602" spans="6:33" ht="40.5" customHeight="1">
      <c r="F2602" s="283" t="s">
        <v>433</v>
      </c>
      <c r="I2602" s="283">
        <v>3.6</v>
      </c>
      <c r="J2602" s="374" t="s">
        <v>1645</v>
      </c>
      <c r="S2602" s="783">
        <f>V2591</f>
        <v>2.2800000000000001E-2</v>
      </c>
      <c r="T2602" s="283" t="s">
        <v>869</v>
      </c>
      <c r="U2602" s="283" t="s">
        <v>2487</v>
      </c>
      <c r="V2602" s="283">
        <f>I2634</f>
        <v>111600</v>
      </c>
      <c r="W2602" s="744" t="s">
        <v>869</v>
      </c>
      <c r="X2602" s="283">
        <f>S2602*V2602</f>
        <v>2544.48</v>
      </c>
      <c r="Y2602" s="783">
        <v>2.2690000000000001</v>
      </c>
      <c r="Z2602" s="283">
        <f>Y2602*336</f>
        <v>762.38</v>
      </c>
      <c r="AD2602" s="1003" t="s">
        <v>6131</v>
      </c>
      <c r="AE2602" s="1003"/>
      <c r="AF2602" s="1003"/>
      <c r="AG2602" s="1003"/>
    </row>
    <row r="2603" spans="6:33" ht="24" customHeight="1">
      <c r="F2603" s="283" t="s">
        <v>577</v>
      </c>
      <c r="I2603" s="283">
        <v>2.88</v>
      </c>
      <c r="S2603" s="783">
        <f>V2594</f>
        <v>4.2999999999999997E-2</v>
      </c>
      <c r="T2603" s="283" t="s">
        <v>869</v>
      </c>
      <c r="U2603" s="283" t="s">
        <v>2488</v>
      </c>
      <c r="V2603" s="283">
        <f t="shared" ref="V2603:V2611" si="254">I2635</f>
        <v>99400</v>
      </c>
      <c r="W2603" s="744" t="s">
        <v>869</v>
      </c>
      <c r="X2603" s="283">
        <f t="shared" ref="X2603:X2613" si="255">S2603*V2603</f>
        <v>4274.2</v>
      </c>
      <c r="Y2603" s="783">
        <v>3.4849999999999999</v>
      </c>
      <c r="Z2603" s="283">
        <f>Y2603*V2605</f>
        <v>5356.45</v>
      </c>
      <c r="AF2603" s="374"/>
    </row>
    <row r="2604" spans="6:33" ht="24" customHeight="1">
      <c r="I2604" s="785" t="s">
        <v>879</v>
      </c>
      <c r="S2604" s="783">
        <f>V2599</f>
        <v>4.0800000000000003E-2</v>
      </c>
      <c r="T2604" s="283" t="s">
        <v>869</v>
      </c>
      <c r="U2604" s="283" t="s">
        <v>937</v>
      </c>
      <c r="V2604" s="283">
        <f t="shared" si="254"/>
        <v>107000</v>
      </c>
      <c r="W2604" s="744" t="s">
        <v>869</v>
      </c>
      <c r="X2604" s="283">
        <f t="shared" si="255"/>
        <v>4365.6000000000004</v>
      </c>
      <c r="Y2604" s="783">
        <v>2</v>
      </c>
      <c r="Z2604" s="283">
        <f>Y2604*V2606</f>
        <v>509</v>
      </c>
      <c r="AB2604" s="283" t="s">
        <v>2020</v>
      </c>
      <c r="AE2604" s="846">
        <f>2*0.95*2.025</f>
        <v>3.8475000000000001</v>
      </c>
      <c r="AF2604" s="374"/>
    </row>
    <row r="2605" spans="6:33" ht="24" customHeight="1">
      <c r="I2605" s="751">
        <f>SUM(I2598:I2603)</f>
        <v>72.55</v>
      </c>
      <c r="J2605" s="374" t="s">
        <v>1645</v>
      </c>
      <c r="S2605" s="783">
        <f>V2590</f>
        <v>3.4424999999999999</v>
      </c>
      <c r="T2605" s="283" t="s">
        <v>609</v>
      </c>
      <c r="U2605" s="283" t="s">
        <v>883</v>
      </c>
      <c r="V2605" s="283">
        <f t="shared" si="254"/>
        <v>1537</v>
      </c>
      <c r="W2605" s="744" t="s">
        <v>609</v>
      </c>
      <c r="X2605" s="283">
        <f t="shared" si="255"/>
        <v>5291.12</v>
      </c>
      <c r="Y2605" s="783">
        <v>6</v>
      </c>
      <c r="Z2605" s="283">
        <f>Y2605*V2607</f>
        <v>1284.5999999999999</v>
      </c>
      <c r="AB2605" s="283" t="s">
        <v>1932</v>
      </c>
      <c r="AE2605" s="846">
        <v>2.2800000000000001E-2</v>
      </c>
      <c r="AF2605" s="374"/>
    </row>
    <row r="2606" spans="6:33" ht="24" customHeight="1">
      <c r="I2606" s="785" t="s">
        <v>879</v>
      </c>
      <c r="S2606" s="746">
        <v>2</v>
      </c>
      <c r="T2606" s="283" t="s">
        <v>1873</v>
      </c>
      <c r="U2606" s="283" t="s">
        <v>2123</v>
      </c>
      <c r="V2606" s="283">
        <f t="shared" si="254"/>
        <v>254.5</v>
      </c>
      <c r="W2606" s="744" t="s">
        <v>1398</v>
      </c>
      <c r="X2606" s="283">
        <f t="shared" si="255"/>
        <v>509</v>
      </c>
      <c r="Y2606" s="783">
        <v>4</v>
      </c>
      <c r="Z2606" s="283">
        <f>Y2606*V2608</f>
        <v>1632</v>
      </c>
      <c r="AB2606" s="283" t="s">
        <v>2021</v>
      </c>
      <c r="AE2606" s="783">
        <f>2*3*0.95*0.15*0.0375</f>
        <v>3.2099999999999997E-2</v>
      </c>
      <c r="AF2606" s="374"/>
    </row>
    <row r="2607" spans="6:33" ht="24" customHeight="1">
      <c r="S2607" s="746">
        <v>6</v>
      </c>
      <c r="T2607" s="283" t="s">
        <v>1873</v>
      </c>
      <c r="U2607" s="283" t="s">
        <v>1098</v>
      </c>
      <c r="V2607" s="283">
        <f t="shared" si="254"/>
        <v>214.1</v>
      </c>
      <c r="W2607" s="744" t="s">
        <v>1398</v>
      </c>
      <c r="X2607" s="283">
        <f t="shared" si="255"/>
        <v>1284.5999999999999</v>
      </c>
      <c r="Y2607" s="783">
        <v>1</v>
      </c>
      <c r="Z2607" s="283">
        <f>Y2607*X2609</f>
        <v>836</v>
      </c>
      <c r="AC2607" s="283" t="s">
        <v>2022</v>
      </c>
      <c r="AE2607" s="783">
        <f>2*3*0.95*0.075*0.0375</f>
        <v>1.6E-2</v>
      </c>
      <c r="AF2607" s="374"/>
    </row>
    <row r="2608" spans="6:33" ht="24" customHeight="1">
      <c r="F2608" s="283">
        <v>73</v>
      </c>
      <c r="G2608" s="283" t="s">
        <v>1645</v>
      </c>
      <c r="H2608" s="283" t="s">
        <v>578</v>
      </c>
      <c r="I2608" s="283">
        <f>I2573</f>
        <v>70.150000000000006</v>
      </c>
      <c r="J2608" s="374" t="s">
        <v>1645</v>
      </c>
      <c r="K2608" s="283">
        <f>F2608*I2608</f>
        <v>5120.95</v>
      </c>
      <c r="S2608" s="746">
        <v>4</v>
      </c>
      <c r="T2608" s="283" t="s">
        <v>1873</v>
      </c>
      <c r="U2608" s="283" t="s">
        <v>1348</v>
      </c>
      <c r="V2608" s="283">
        <f t="shared" si="254"/>
        <v>408</v>
      </c>
      <c r="W2608" s="744" t="s">
        <v>1398</v>
      </c>
      <c r="X2608" s="283">
        <f t="shared" si="255"/>
        <v>1632</v>
      </c>
      <c r="Y2608" s="783">
        <v>2</v>
      </c>
      <c r="Z2608" s="283">
        <f>Y2608*V2610</f>
        <v>15</v>
      </c>
      <c r="AE2608" s="847">
        <f>SUM(AE2606:AE2607)</f>
        <v>4.8099999999999997E-2</v>
      </c>
      <c r="AF2608" s="374"/>
    </row>
    <row r="2609" spans="6:33" ht="24" customHeight="1">
      <c r="F2609" s="283">
        <v>1.01</v>
      </c>
      <c r="G2609" s="283" t="s">
        <v>2283</v>
      </c>
      <c r="H2609" s="283" t="s">
        <v>2122</v>
      </c>
      <c r="I2609" s="283">
        <f>I2574</f>
        <v>379.9</v>
      </c>
      <c r="J2609" s="374" t="s">
        <v>2283</v>
      </c>
      <c r="K2609" s="283">
        <f>F2609*I2609</f>
        <v>383.7</v>
      </c>
      <c r="S2609" s="746">
        <v>1</v>
      </c>
      <c r="T2609" s="283" t="s">
        <v>1873</v>
      </c>
      <c r="U2609" s="283" t="s">
        <v>1349</v>
      </c>
      <c r="V2609" s="283">
        <f t="shared" si="254"/>
        <v>836</v>
      </c>
      <c r="W2609" s="744" t="s">
        <v>1398</v>
      </c>
      <c r="X2609" s="283">
        <f t="shared" si="255"/>
        <v>836</v>
      </c>
      <c r="Y2609" s="783">
        <v>2</v>
      </c>
      <c r="Z2609" s="283">
        <f>Y2609*V2611</f>
        <v>99.1</v>
      </c>
      <c r="AF2609" s="374"/>
    </row>
    <row r="2610" spans="6:33" ht="24" customHeight="1">
      <c r="F2610" s="283">
        <v>1.01</v>
      </c>
      <c r="G2610" s="283" t="s">
        <v>2283</v>
      </c>
      <c r="H2610" s="283" t="s">
        <v>579</v>
      </c>
      <c r="I2610" s="283">
        <f>C199</f>
        <v>40.65</v>
      </c>
      <c r="J2610" s="374" t="s">
        <v>2283</v>
      </c>
      <c r="K2610" s="283">
        <f>F2610*I2610</f>
        <v>41.06</v>
      </c>
      <c r="S2610" s="746">
        <v>2</v>
      </c>
      <c r="T2610" s="283" t="s">
        <v>1873</v>
      </c>
      <c r="U2610" s="283" t="s">
        <v>1980</v>
      </c>
      <c r="V2610" s="283">
        <v>7.5</v>
      </c>
      <c r="W2610" s="744" t="s">
        <v>1398</v>
      </c>
      <c r="X2610" s="283">
        <f t="shared" si="255"/>
        <v>15</v>
      </c>
      <c r="Y2610" s="783"/>
      <c r="Z2610" s="283">
        <v>20</v>
      </c>
      <c r="AF2610" s="374"/>
    </row>
    <row r="2611" spans="6:33" ht="24" customHeight="1">
      <c r="H2611" s="283" t="s">
        <v>123</v>
      </c>
      <c r="I2611" s="283">
        <v>266.81</v>
      </c>
      <c r="J2611" s="374" t="s">
        <v>449</v>
      </c>
      <c r="K2611" s="283">
        <f>I2611</f>
        <v>266.81</v>
      </c>
      <c r="S2611" s="746">
        <v>2</v>
      </c>
      <c r="T2611" s="283" t="s">
        <v>1873</v>
      </c>
      <c r="U2611" s="283" t="s">
        <v>1982</v>
      </c>
      <c r="V2611" s="283">
        <f t="shared" si="254"/>
        <v>49.55</v>
      </c>
      <c r="W2611" s="744" t="s">
        <v>1398</v>
      </c>
      <c r="X2611" s="283">
        <f t="shared" si="255"/>
        <v>99.1</v>
      </c>
      <c r="Z2611" s="283">
        <f>SUM(Z2600:Z2610)</f>
        <v>17545.61</v>
      </c>
      <c r="AB2611" s="283" t="s">
        <v>2086</v>
      </c>
      <c r="AE2611" s="783">
        <f>2*4*0.825*0.3*0.01875</f>
        <v>3.7100000000000001E-2</v>
      </c>
      <c r="AF2611" s="374"/>
    </row>
    <row r="2612" spans="6:33" ht="24" customHeight="1">
      <c r="K2612" s="785" t="s">
        <v>146</v>
      </c>
      <c r="W2612" s="744"/>
      <c r="Z2612" s="283">
        <f>Z2611/3.485</f>
        <v>5034.6099999999997</v>
      </c>
      <c r="AB2612" s="283" t="s">
        <v>2087</v>
      </c>
      <c r="AE2612" s="783">
        <f>2*0.825*0.3*0.01875</f>
        <v>9.2999999999999992E-3</v>
      </c>
      <c r="AF2612" s="374"/>
    </row>
    <row r="2613" spans="6:33" ht="24" customHeight="1">
      <c r="K2613" s="283">
        <f>SUM(K2608:K2611)</f>
        <v>5812.52</v>
      </c>
      <c r="S2613" s="746">
        <v>10</v>
      </c>
      <c r="U2613" s="283" t="s">
        <v>1141</v>
      </c>
      <c r="V2613" s="283">
        <f>I2644</f>
        <v>2.41</v>
      </c>
      <c r="W2613" s="744"/>
      <c r="X2613" s="283">
        <f t="shared" si="255"/>
        <v>24.1</v>
      </c>
      <c r="AE2613" s="847">
        <f>SUM(AE2611:AE2612)</f>
        <v>4.6399999999999997E-2</v>
      </c>
      <c r="AF2613" s="374"/>
    </row>
    <row r="2614" spans="6:33" ht="24" customHeight="1">
      <c r="H2614" s="283" t="s">
        <v>124</v>
      </c>
      <c r="I2614" s="283">
        <v>255</v>
      </c>
      <c r="J2614" s="374" t="s">
        <v>449</v>
      </c>
      <c r="K2614" s="283">
        <v>255</v>
      </c>
      <c r="T2614" s="751"/>
      <c r="U2614" s="751" t="s">
        <v>552</v>
      </c>
      <c r="W2614" s="744"/>
      <c r="X2614" s="751">
        <f>SUM(X2602:X2613)</f>
        <v>20875.2</v>
      </c>
      <c r="AD2614" s="751" t="s">
        <v>1622</v>
      </c>
      <c r="AF2614" s="374"/>
    </row>
    <row r="2615" spans="6:33" ht="24" customHeight="1">
      <c r="K2615" s="785" t="s">
        <v>146</v>
      </c>
      <c r="T2615" s="751"/>
      <c r="U2615" s="751"/>
      <c r="W2615" s="744"/>
      <c r="X2615" s="785" t="s">
        <v>146</v>
      </c>
      <c r="AF2615" s="374"/>
    </row>
    <row r="2616" spans="6:33" ht="24" customHeight="1">
      <c r="H2616" s="751" t="s">
        <v>125</v>
      </c>
      <c r="K2616" s="751">
        <f>SUM(K2613:K2614)</f>
        <v>6067.52</v>
      </c>
      <c r="M2616" s="283">
        <f>5227-K2616</f>
        <v>-840.52</v>
      </c>
      <c r="T2616" s="751"/>
      <c r="U2616" s="751" t="s">
        <v>2489</v>
      </c>
      <c r="W2616" s="744"/>
      <c r="X2616" s="751">
        <f>X2614/3.4425</f>
        <v>6063.97</v>
      </c>
      <c r="AB2616" s="783">
        <f>AE2605</f>
        <v>2.2800000000000001E-2</v>
      </c>
      <c r="AC2616" s="283" t="s">
        <v>869</v>
      </c>
      <c r="AD2616" s="283" t="s">
        <v>2487</v>
      </c>
      <c r="AE2616" s="283">
        <f>V2602</f>
        <v>111600</v>
      </c>
      <c r="AF2616" s="374" t="s">
        <v>869</v>
      </c>
      <c r="AG2616" s="283">
        <f>AB2616*AE2616</f>
        <v>2544.48</v>
      </c>
    </row>
    <row r="2617" spans="6:33" ht="24" customHeight="1">
      <c r="K2617" s="785" t="s">
        <v>146</v>
      </c>
      <c r="W2617" s="744"/>
      <c r="AB2617" s="783">
        <f>AE2608</f>
        <v>4.8099999999999997E-2</v>
      </c>
      <c r="AC2617" s="283" t="s">
        <v>869</v>
      </c>
      <c r="AD2617" s="283" t="s">
        <v>2488</v>
      </c>
      <c r="AE2617" s="283">
        <f t="shared" ref="AE2617:AE2625" si="256">V2603</f>
        <v>99400</v>
      </c>
      <c r="AF2617" s="374" t="s">
        <v>869</v>
      </c>
      <c r="AG2617" s="283">
        <f t="shared" ref="AG2617:AG2625" si="257">AB2617*AE2617</f>
        <v>4781.1400000000003</v>
      </c>
    </row>
    <row r="2618" spans="6:33" ht="24" customHeight="1">
      <c r="W2618" s="744"/>
      <c r="AB2618" s="782">
        <f>AE2613</f>
        <v>4.6399999999999997E-2</v>
      </c>
      <c r="AC2618" s="283" t="s">
        <v>869</v>
      </c>
      <c r="AD2618" s="283" t="s">
        <v>937</v>
      </c>
      <c r="AE2618" s="283">
        <f t="shared" si="256"/>
        <v>107000</v>
      </c>
      <c r="AF2618" s="374" t="s">
        <v>869</v>
      </c>
      <c r="AG2618" s="283">
        <f t="shared" si="257"/>
        <v>4964.8</v>
      </c>
    </row>
    <row r="2619" spans="6:33" ht="24" customHeight="1">
      <c r="W2619" s="744"/>
      <c r="AB2619" s="783">
        <f>AE2604</f>
        <v>3.8475000000000001</v>
      </c>
      <c r="AC2619" s="283" t="s">
        <v>609</v>
      </c>
      <c r="AD2619" s="283" t="s">
        <v>883</v>
      </c>
      <c r="AE2619" s="283">
        <f t="shared" si="256"/>
        <v>1537</v>
      </c>
      <c r="AF2619" s="374" t="s">
        <v>609</v>
      </c>
      <c r="AG2619" s="283">
        <f t="shared" si="257"/>
        <v>5913.61</v>
      </c>
    </row>
    <row r="2620" spans="6:33" ht="24" customHeight="1">
      <c r="H2620" s="751" t="s">
        <v>3951</v>
      </c>
      <c r="I2620" s="751"/>
      <c r="W2620" s="744"/>
      <c r="AB2620" s="283">
        <v>2</v>
      </c>
      <c r="AC2620" s="283" t="s">
        <v>1873</v>
      </c>
      <c r="AD2620" s="283" t="s">
        <v>2123</v>
      </c>
      <c r="AE2620" s="283">
        <f t="shared" si="256"/>
        <v>254.5</v>
      </c>
      <c r="AF2620" s="374" t="s">
        <v>1398</v>
      </c>
      <c r="AG2620" s="283">
        <f t="shared" si="257"/>
        <v>509</v>
      </c>
    </row>
    <row r="2621" spans="6:33" ht="24" customHeight="1">
      <c r="W2621" s="744"/>
      <c r="AB2621" s="283">
        <v>6</v>
      </c>
      <c r="AC2621" s="283" t="s">
        <v>1873</v>
      </c>
      <c r="AD2621" s="283" t="s">
        <v>1098</v>
      </c>
      <c r="AE2621" s="283">
        <f t="shared" si="256"/>
        <v>214.1</v>
      </c>
      <c r="AF2621" s="374" t="s">
        <v>1398</v>
      </c>
      <c r="AG2621" s="283">
        <f t="shared" si="257"/>
        <v>1284.5999999999999</v>
      </c>
    </row>
    <row r="2622" spans="6:33" ht="24" customHeight="1">
      <c r="F2622" s="283" t="s">
        <v>458</v>
      </c>
      <c r="W2622" s="744"/>
      <c r="AB2622" s="283">
        <v>4</v>
      </c>
      <c r="AC2622" s="283" t="s">
        <v>1873</v>
      </c>
      <c r="AD2622" s="283" t="s">
        <v>1348</v>
      </c>
      <c r="AE2622" s="283">
        <f t="shared" si="256"/>
        <v>408</v>
      </c>
      <c r="AF2622" s="374" t="s">
        <v>1398</v>
      </c>
      <c r="AG2622" s="283">
        <f t="shared" si="257"/>
        <v>1632</v>
      </c>
    </row>
    <row r="2623" spans="6:33" ht="24" customHeight="1">
      <c r="F2623" s="283" t="s">
        <v>1932</v>
      </c>
      <c r="I2623" s="846">
        <v>2.2800000000000001E-2</v>
      </c>
      <c r="W2623" s="744"/>
      <c r="AB2623" s="283">
        <v>1</v>
      </c>
      <c r="AC2623" s="283" t="s">
        <v>1873</v>
      </c>
      <c r="AD2623" s="283" t="s">
        <v>1349</v>
      </c>
      <c r="AE2623" s="283">
        <f t="shared" si="256"/>
        <v>836</v>
      </c>
      <c r="AF2623" s="374" t="s">
        <v>1398</v>
      </c>
      <c r="AG2623" s="283">
        <f t="shared" si="257"/>
        <v>836</v>
      </c>
    </row>
    <row r="2624" spans="6:33" ht="24" customHeight="1">
      <c r="F2624" s="283" t="s">
        <v>1933</v>
      </c>
      <c r="I2624" s="783">
        <v>2.3599999999999999E-2</v>
      </c>
      <c r="W2624" s="744"/>
      <c r="AB2624" s="283">
        <v>2</v>
      </c>
      <c r="AC2624" s="283" t="s">
        <v>1873</v>
      </c>
      <c r="AD2624" s="283" t="s">
        <v>1980</v>
      </c>
      <c r="AE2624" s="283">
        <f t="shared" si="256"/>
        <v>7.5</v>
      </c>
      <c r="AF2624" s="374" t="s">
        <v>1398</v>
      </c>
      <c r="AG2624" s="283">
        <f t="shared" si="257"/>
        <v>15</v>
      </c>
    </row>
    <row r="2625" spans="6:33" ht="24" customHeight="1">
      <c r="G2625" s="283" t="s">
        <v>2075</v>
      </c>
      <c r="I2625" s="783">
        <v>1.18E-2</v>
      </c>
      <c r="W2625" s="744"/>
      <c r="AB2625" s="283">
        <v>2</v>
      </c>
      <c r="AC2625" s="283" t="s">
        <v>1873</v>
      </c>
      <c r="AD2625" s="283" t="s">
        <v>1982</v>
      </c>
      <c r="AE2625" s="283">
        <f t="shared" si="256"/>
        <v>49.55</v>
      </c>
      <c r="AF2625" s="374" t="s">
        <v>1398</v>
      </c>
      <c r="AG2625" s="283">
        <f t="shared" si="257"/>
        <v>99.1</v>
      </c>
    </row>
    <row r="2626" spans="6:33" ht="24" customHeight="1">
      <c r="I2626" s="847">
        <f>SUM(I2624:I2625)</f>
        <v>3.5400000000000001E-2</v>
      </c>
      <c r="W2626" s="744"/>
      <c r="AF2626" s="374"/>
    </row>
    <row r="2627" spans="6:33" ht="24" customHeight="1">
      <c r="O2627" s="751" t="s">
        <v>3952</v>
      </c>
      <c r="Q2627" s="374"/>
      <c r="W2627" s="744"/>
      <c r="AF2627" s="374"/>
      <c r="AG2627" s="785">
        <v>10.54</v>
      </c>
    </row>
    <row r="2628" spans="6:33" ht="24" customHeight="1">
      <c r="Q2628" s="374"/>
      <c r="W2628" s="744"/>
      <c r="AC2628" s="751"/>
      <c r="AD2628" s="751" t="s">
        <v>552</v>
      </c>
      <c r="AF2628" s="374"/>
      <c r="AG2628" s="751">
        <f>SUM(AG2616:AG2627)</f>
        <v>22590.27</v>
      </c>
    </row>
    <row r="2629" spans="6:33" ht="24" customHeight="1">
      <c r="F2629" s="283" t="s">
        <v>2076</v>
      </c>
      <c r="I2629" s="783">
        <v>2.5899999999999999E-2</v>
      </c>
      <c r="M2629" s="283" t="s">
        <v>1870</v>
      </c>
      <c r="Q2629" s="374"/>
      <c r="W2629" s="744"/>
      <c r="AC2629" s="751"/>
      <c r="AD2629" s="751"/>
      <c r="AF2629" s="374"/>
      <c r="AG2629" s="785" t="s">
        <v>146</v>
      </c>
    </row>
    <row r="2630" spans="6:33" ht="24" customHeight="1">
      <c r="F2630" s="283" t="s">
        <v>421</v>
      </c>
      <c r="I2630" s="783">
        <f>2*0.575*0.3*0.01875</f>
        <v>6.4999999999999997E-3</v>
      </c>
      <c r="K2630" s="283">
        <f>3643035-3769622.98</f>
        <v>-126587.98</v>
      </c>
      <c r="M2630" s="283" t="s">
        <v>1932</v>
      </c>
      <c r="P2630" s="846">
        <v>2.2800000000000001E-2</v>
      </c>
      <c r="Q2630" s="374"/>
      <c r="W2630" s="744"/>
      <c r="AC2630" s="751"/>
      <c r="AD2630" s="751" t="s">
        <v>2088</v>
      </c>
      <c r="AF2630" s="374"/>
      <c r="AG2630" s="751">
        <f>AG2628/3.8475</f>
        <v>5871.42</v>
      </c>
    </row>
    <row r="2631" spans="6:33" ht="24" customHeight="1">
      <c r="I2631" s="847">
        <f>SUM(I2629:I2630)</f>
        <v>3.2399999999999998E-2</v>
      </c>
      <c r="M2631" s="283" t="s">
        <v>1871</v>
      </c>
      <c r="P2631" s="783">
        <v>1.8599999999999998E-2</v>
      </c>
      <c r="Q2631" s="374"/>
      <c r="W2631" s="744"/>
    </row>
    <row r="2632" spans="6:33" ht="24" customHeight="1">
      <c r="H2632" s="751" t="s">
        <v>1622</v>
      </c>
      <c r="N2632" s="283" t="s">
        <v>405</v>
      </c>
      <c r="P2632" s="783">
        <v>9.2999999999999992E-3</v>
      </c>
      <c r="Q2632" s="374"/>
      <c r="W2632" s="744"/>
    </row>
    <row r="2633" spans="6:33" ht="24" customHeight="1">
      <c r="P2633" s="847">
        <f>SUM(P2631:P2632)</f>
        <v>2.7900000000000001E-2</v>
      </c>
      <c r="Q2633" s="374"/>
      <c r="W2633" s="744"/>
    </row>
    <row r="2634" spans="6:33" ht="24" customHeight="1">
      <c r="F2634" s="783">
        <v>2.2800000000000001E-2</v>
      </c>
      <c r="G2634" s="283" t="s">
        <v>869</v>
      </c>
      <c r="H2634" s="283" t="s">
        <v>3124</v>
      </c>
      <c r="I2634" s="283">
        <f>AC26</f>
        <v>111600</v>
      </c>
      <c r="J2634" s="374" t="s">
        <v>869</v>
      </c>
      <c r="K2634" s="283">
        <f>F2634*I2634</f>
        <v>2544.48</v>
      </c>
      <c r="Q2634" s="374"/>
      <c r="W2634" s="744"/>
    </row>
    <row r="2635" spans="6:33" ht="24" customHeight="1">
      <c r="F2635" s="783">
        <v>3.5400000000000001E-2</v>
      </c>
      <c r="G2635" s="283" t="s">
        <v>869</v>
      </c>
      <c r="H2635" s="283" t="s">
        <v>2488</v>
      </c>
      <c r="I2635" s="283">
        <f>AC27</f>
        <v>99400</v>
      </c>
      <c r="J2635" s="374" t="s">
        <v>869</v>
      </c>
      <c r="K2635" s="283">
        <f t="shared" ref="K2635:K2644" si="258">F2635*I2635</f>
        <v>3518.76</v>
      </c>
      <c r="Q2635" s="374"/>
      <c r="W2635" s="744"/>
    </row>
    <row r="2636" spans="6:33" ht="24" customHeight="1">
      <c r="F2636" s="782">
        <v>3.2300000000000002E-2</v>
      </c>
      <c r="G2636" s="283" t="s">
        <v>869</v>
      </c>
      <c r="H2636" s="283" t="s">
        <v>5336</v>
      </c>
      <c r="I2636" s="283">
        <v>107000</v>
      </c>
      <c r="J2636" s="374" t="s">
        <v>869</v>
      </c>
      <c r="K2636" s="283">
        <f t="shared" si="258"/>
        <v>3456.1</v>
      </c>
      <c r="M2636" s="283" t="s">
        <v>404</v>
      </c>
      <c r="P2636" s="783">
        <v>1.9E-2</v>
      </c>
      <c r="Q2636" s="374"/>
      <c r="W2636" s="744"/>
      <c r="AB2636" s="746"/>
      <c r="AD2636" s="751" t="s">
        <v>3735</v>
      </c>
      <c r="AF2636" s="374"/>
    </row>
    <row r="2637" spans="6:33" ht="24" customHeight="1">
      <c r="F2637" s="746">
        <v>2.835</v>
      </c>
      <c r="G2637" s="283" t="s">
        <v>609</v>
      </c>
      <c r="H2637" s="283" t="s">
        <v>883</v>
      </c>
      <c r="I2637" s="283">
        <f>AE30</f>
        <v>1537</v>
      </c>
      <c r="J2637" s="374" t="s">
        <v>609</v>
      </c>
      <c r="K2637" s="283">
        <f t="shared" si="258"/>
        <v>4357.3999999999996</v>
      </c>
      <c r="M2637" s="283" t="s">
        <v>350</v>
      </c>
      <c r="P2637" s="783">
        <v>4.7999999999999996E-3</v>
      </c>
      <c r="Q2637" s="374"/>
      <c r="W2637" s="744"/>
      <c r="AB2637" s="746"/>
      <c r="AD2637" s="751" t="s">
        <v>3859</v>
      </c>
      <c r="AF2637" s="374"/>
    </row>
    <row r="2638" spans="6:33" ht="24" customHeight="1">
      <c r="F2638" s="283">
        <v>2</v>
      </c>
      <c r="G2638" s="283" t="s">
        <v>1873</v>
      </c>
      <c r="H2638" s="283" t="s">
        <v>3736</v>
      </c>
      <c r="I2638" s="283">
        <f>I2819</f>
        <v>254.5</v>
      </c>
      <c r="J2638" s="374" t="s">
        <v>1398</v>
      </c>
      <c r="K2638" s="283">
        <f t="shared" si="258"/>
        <v>509</v>
      </c>
      <c r="P2638" s="847">
        <f>SUM(P2636:P2637)</f>
        <v>2.3800000000000002E-2</v>
      </c>
      <c r="Q2638" s="374"/>
      <c r="W2638" s="744"/>
      <c r="AB2638" s="746" t="s">
        <v>2482</v>
      </c>
      <c r="AE2638" s="846">
        <f>2*0.85*2.025</f>
        <v>3.4424999999999999</v>
      </c>
      <c r="AF2638" s="374"/>
    </row>
    <row r="2639" spans="6:33" ht="24" customHeight="1">
      <c r="F2639" s="283">
        <v>6</v>
      </c>
      <c r="G2639" s="283" t="s">
        <v>1873</v>
      </c>
      <c r="H2639" s="283" t="s">
        <v>3737</v>
      </c>
      <c r="I2639" s="283">
        <f t="shared" ref="I2639:I2644" si="259">I2820</f>
        <v>214.1</v>
      </c>
      <c r="J2639" s="374" t="s">
        <v>1398</v>
      </c>
      <c r="K2639" s="283">
        <f t="shared" si="258"/>
        <v>1284.5999999999999</v>
      </c>
      <c r="O2639" s="751" t="s">
        <v>1622</v>
      </c>
      <c r="Q2639" s="374"/>
      <c r="W2639" s="744"/>
      <c r="AB2639" s="746" t="s">
        <v>1932</v>
      </c>
      <c r="AE2639" s="846">
        <v>2.2800000000000001E-2</v>
      </c>
      <c r="AF2639" s="374"/>
    </row>
    <row r="2640" spans="6:33" ht="24" customHeight="1">
      <c r="F2640" s="283">
        <v>4</v>
      </c>
      <c r="G2640" s="283" t="s">
        <v>1873</v>
      </c>
      <c r="H2640" s="283" t="s">
        <v>3738</v>
      </c>
      <c r="I2640" s="283">
        <f t="shared" si="259"/>
        <v>408</v>
      </c>
      <c r="J2640" s="374" t="s">
        <v>1398</v>
      </c>
      <c r="K2640" s="283">
        <f t="shared" si="258"/>
        <v>1632</v>
      </c>
      <c r="Q2640" s="374"/>
      <c r="W2640" s="744"/>
      <c r="AB2640" s="746" t="s">
        <v>2483</v>
      </c>
      <c r="AE2640" s="783">
        <f>2*3*0.85*0.15*0.0375</f>
        <v>2.87E-2</v>
      </c>
      <c r="AF2640" s="374"/>
    </row>
    <row r="2641" spans="6:34" ht="24" customHeight="1">
      <c r="F2641" s="283">
        <v>1</v>
      </c>
      <c r="G2641" s="283" t="s">
        <v>1873</v>
      </c>
      <c r="H2641" s="283" t="s">
        <v>3739</v>
      </c>
      <c r="I2641" s="283">
        <f t="shared" si="259"/>
        <v>836</v>
      </c>
      <c r="J2641" s="374" t="s">
        <v>1398</v>
      </c>
      <c r="K2641" s="283">
        <f t="shared" si="258"/>
        <v>836</v>
      </c>
      <c r="M2641" s="783">
        <f>P2630</f>
        <v>2.2800000000000001E-2</v>
      </c>
      <c r="N2641" s="283" t="s">
        <v>869</v>
      </c>
      <c r="O2641" s="283" t="s">
        <v>2487</v>
      </c>
      <c r="P2641" s="283">
        <f>I2634</f>
        <v>111600</v>
      </c>
      <c r="Q2641" s="374" t="s">
        <v>869</v>
      </c>
      <c r="R2641" s="283">
        <f>M2641*P2641</f>
        <v>2544.48</v>
      </c>
      <c r="W2641" s="744"/>
      <c r="AB2641" s="746"/>
      <c r="AC2641" s="283" t="s">
        <v>2484</v>
      </c>
      <c r="AE2641" s="783">
        <f>2*3*0.85*0.075*0.0375</f>
        <v>1.43E-2</v>
      </c>
      <c r="AF2641" s="374"/>
    </row>
    <row r="2642" spans="6:34" ht="24" customHeight="1">
      <c r="F2642" s="283">
        <v>2</v>
      </c>
      <c r="G2642" s="283" t="s">
        <v>1873</v>
      </c>
      <c r="H2642" s="283" t="s">
        <v>5675</v>
      </c>
      <c r="I2642" s="283">
        <f t="shared" si="259"/>
        <v>7.3</v>
      </c>
      <c r="J2642" s="374" t="s">
        <v>1398</v>
      </c>
      <c r="K2642" s="283">
        <f t="shared" si="258"/>
        <v>14.6</v>
      </c>
      <c r="M2642" s="783">
        <f>P2633</f>
        <v>2.7900000000000001E-2</v>
      </c>
      <c r="N2642" s="283" t="s">
        <v>869</v>
      </c>
      <c r="O2642" s="283" t="s">
        <v>2488</v>
      </c>
      <c r="P2642" s="283">
        <f t="shared" ref="P2642:P2650" si="260">I2635</f>
        <v>99400</v>
      </c>
      <c r="Q2642" s="374" t="s">
        <v>869</v>
      </c>
      <c r="R2642" s="283">
        <f t="shared" ref="R2642:R2651" si="261">M2642*P2642</f>
        <v>2773.26</v>
      </c>
      <c r="W2642" s="744"/>
      <c r="AA2642" s="746"/>
      <c r="AB2642" s="746"/>
      <c r="AE2642" s="847">
        <f>SUM(AE2640:AE2641)</f>
        <v>4.2999999999999997E-2</v>
      </c>
      <c r="AF2642" s="374"/>
    </row>
    <row r="2643" spans="6:34" ht="24" customHeight="1">
      <c r="F2643" s="283">
        <v>2</v>
      </c>
      <c r="G2643" s="283" t="s">
        <v>1873</v>
      </c>
      <c r="H2643" s="283" t="s">
        <v>5337</v>
      </c>
      <c r="I2643" s="283">
        <f t="shared" si="259"/>
        <v>49.55</v>
      </c>
      <c r="J2643" s="374" t="s">
        <v>1398</v>
      </c>
      <c r="K2643" s="283">
        <f t="shared" si="258"/>
        <v>99.1</v>
      </c>
      <c r="M2643" s="782">
        <f>P2638</f>
        <v>2.3800000000000002E-2</v>
      </c>
      <c r="N2643" s="283" t="s">
        <v>869</v>
      </c>
      <c r="O2643" s="283" t="s">
        <v>3950</v>
      </c>
      <c r="P2643" s="283">
        <f t="shared" si="260"/>
        <v>107000</v>
      </c>
      <c r="Q2643" s="374" t="s">
        <v>869</v>
      </c>
      <c r="R2643" s="283">
        <f t="shared" si="261"/>
        <v>2546.6</v>
      </c>
      <c r="W2643" s="744"/>
      <c r="AA2643" s="746"/>
      <c r="AB2643" s="746"/>
      <c r="AF2643" s="374"/>
    </row>
    <row r="2644" spans="6:34" ht="24" customHeight="1">
      <c r="F2644" s="283">
        <v>118</v>
      </c>
      <c r="H2644" s="283" t="s">
        <v>1141</v>
      </c>
      <c r="I2644" s="283">
        <f t="shared" si="259"/>
        <v>2.41</v>
      </c>
      <c r="K2644" s="283">
        <f t="shared" si="258"/>
        <v>284.38</v>
      </c>
      <c r="M2644" s="746">
        <v>2.23</v>
      </c>
      <c r="N2644" s="283" t="s">
        <v>609</v>
      </c>
      <c r="O2644" s="283" t="s">
        <v>883</v>
      </c>
      <c r="P2644" s="283">
        <f t="shared" si="260"/>
        <v>1537</v>
      </c>
      <c r="Q2644" s="374" t="s">
        <v>609</v>
      </c>
      <c r="R2644" s="283">
        <f t="shared" si="261"/>
        <v>3427.51</v>
      </c>
      <c r="W2644" s="744"/>
      <c r="AA2644" s="746"/>
      <c r="AB2644" s="746"/>
      <c r="AF2644" s="374"/>
    </row>
    <row r="2645" spans="6:34" ht="24" customHeight="1">
      <c r="K2645" s="785"/>
      <c r="M2645" s="283">
        <v>2</v>
      </c>
      <c r="N2645" s="283" t="s">
        <v>1873</v>
      </c>
      <c r="O2645" s="751" t="s">
        <v>3736</v>
      </c>
      <c r="P2645" s="283">
        <f t="shared" si="260"/>
        <v>254.5</v>
      </c>
      <c r="Q2645" s="374" t="s">
        <v>1398</v>
      </c>
      <c r="R2645" s="283">
        <f t="shared" si="261"/>
        <v>509</v>
      </c>
      <c r="W2645" s="744"/>
      <c r="AA2645" s="746"/>
      <c r="AB2645" s="746" t="s">
        <v>2485</v>
      </c>
      <c r="AE2645" s="783">
        <f>2*4*0.725*0.3*0.01875</f>
        <v>3.2599999999999997E-2</v>
      </c>
      <c r="AF2645" s="374"/>
    </row>
    <row r="2646" spans="6:34" ht="24" customHeight="1">
      <c r="G2646" s="751"/>
      <c r="H2646" s="751" t="s">
        <v>552</v>
      </c>
      <c r="K2646" s="751">
        <f>SUM(K2634:K2645)</f>
        <v>18536.419999999998</v>
      </c>
      <c r="L2646" s="282"/>
      <c r="M2646" s="283">
        <v>6</v>
      </c>
      <c r="N2646" s="283" t="s">
        <v>1873</v>
      </c>
      <c r="O2646" s="751" t="s">
        <v>3737</v>
      </c>
      <c r="P2646" s="283">
        <f t="shared" si="260"/>
        <v>214.1</v>
      </c>
      <c r="Q2646" s="374" t="s">
        <v>1398</v>
      </c>
      <c r="R2646" s="283">
        <f t="shared" si="261"/>
        <v>1284.5999999999999</v>
      </c>
      <c r="W2646" s="744"/>
      <c r="AA2646" s="746"/>
      <c r="AB2646" s="746" t="s">
        <v>2486</v>
      </c>
      <c r="AE2646" s="783">
        <f>2*0.725*0.3*0.01875</f>
        <v>8.2000000000000007E-3</v>
      </c>
      <c r="AF2646" s="374"/>
    </row>
    <row r="2647" spans="6:34" ht="24" customHeight="1">
      <c r="G2647" s="751"/>
      <c r="H2647" s="751"/>
      <c r="K2647" s="785" t="s">
        <v>146</v>
      </c>
      <c r="M2647" s="283">
        <v>4</v>
      </c>
      <c r="N2647" s="283" t="s">
        <v>1873</v>
      </c>
      <c r="O2647" s="751" t="s">
        <v>3738</v>
      </c>
      <c r="P2647" s="283">
        <f t="shared" si="260"/>
        <v>408</v>
      </c>
      <c r="Q2647" s="374" t="s">
        <v>1398</v>
      </c>
      <c r="R2647" s="283">
        <f t="shared" si="261"/>
        <v>1632</v>
      </c>
      <c r="W2647" s="744"/>
      <c r="AA2647" s="746"/>
      <c r="AB2647" s="746"/>
      <c r="AE2647" s="847">
        <f>SUM(AE2645:AE2646)</f>
        <v>4.0800000000000003E-2</v>
      </c>
      <c r="AF2647" s="374"/>
    </row>
    <row r="2648" spans="6:34" ht="24" customHeight="1">
      <c r="G2648" s="751"/>
      <c r="H2648" s="751" t="s">
        <v>2082</v>
      </c>
      <c r="K2648" s="751">
        <f>K2646/2.835</f>
        <v>6538.42</v>
      </c>
      <c r="M2648" s="283">
        <v>1</v>
      </c>
      <c r="N2648" s="283" t="s">
        <v>1873</v>
      </c>
      <c r="O2648" s="751" t="s">
        <v>3739</v>
      </c>
      <c r="P2648" s="283">
        <f t="shared" si="260"/>
        <v>836</v>
      </c>
      <c r="Q2648" s="374" t="s">
        <v>1398</v>
      </c>
      <c r="R2648" s="283">
        <f t="shared" si="261"/>
        <v>836</v>
      </c>
      <c r="W2648" s="744"/>
      <c r="AA2648" s="746"/>
      <c r="AB2648" s="746"/>
      <c r="AD2648" s="751" t="s">
        <v>1622</v>
      </c>
      <c r="AF2648" s="374"/>
      <c r="AH2648" s="783"/>
    </row>
    <row r="2649" spans="6:34" ht="24" customHeight="1">
      <c r="G2649" s="751"/>
      <c r="K2649" s="785" t="s">
        <v>146</v>
      </c>
      <c r="M2649" s="283">
        <v>2</v>
      </c>
      <c r="N2649" s="283" t="s">
        <v>1873</v>
      </c>
      <c r="O2649" s="283" t="s">
        <v>1980</v>
      </c>
      <c r="P2649" s="283">
        <f t="shared" si="260"/>
        <v>7.3</v>
      </c>
      <c r="Q2649" s="374" t="s">
        <v>1398</v>
      </c>
      <c r="R2649" s="283">
        <f t="shared" si="261"/>
        <v>14.6</v>
      </c>
      <c r="W2649" s="744"/>
      <c r="AA2649" s="746"/>
      <c r="AB2649" s="746"/>
      <c r="AF2649" s="374"/>
      <c r="AH2649" s="783"/>
    </row>
    <row r="2650" spans="6:34" ht="24" customHeight="1">
      <c r="F2650" s="848" t="s">
        <v>880</v>
      </c>
      <c r="G2650" s="849"/>
      <c r="H2650" s="850" t="s">
        <v>1999</v>
      </c>
      <c r="I2650" s="849"/>
      <c r="J2650" s="850"/>
      <c r="K2650" s="849"/>
      <c r="M2650" s="283">
        <v>2</v>
      </c>
      <c r="N2650" s="283" t="s">
        <v>1873</v>
      </c>
      <c r="O2650" s="283" t="s">
        <v>1982</v>
      </c>
      <c r="P2650" s="283">
        <f t="shared" si="260"/>
        <v>49.55</v>
      </c>
      <c r="Q2650" s="374" t="s">
        <v>1398</v>
      </c>
      <c r="R2650" s="283">
        <f t="shared" si="261"/>
        <v>99.1</v>
      </c>
      <c r="W2650" s="744"/>
      <c r="AA2650" s="746"/>
      <c r="AB2650" s="783">
        <f>AE2639</f>
        <v>2.2800000000000001E-2</v>
      </c>
      <c r="AC2650" s="283" t="s">
        <v>869</v>
      </c>
      <c r="AD2650" s="283" t="s">
        <v>2487</v>
      </c>
      <c r="AE2650" s="283">
        <f>V2602</f>
        <v>111600</v>
      </c>
      <c r="AF2650" s="374" t="s">
        <v>869</v>
      </c>
      <c r="AG2650" s="283">
        <f>AB2650*AE2650</f>
        <v>2544.48</v>
      </c>
      <c r="AH2650" s="783"/>
    </row>
    <row r="2651" spans="6:34" ht="24" customHeight="1">
      <c r="F2651" s="849"/>
      <c r="G2651" s="849"/>
      <c r="H2651" s="851" t="s">
        <v>1586</v>
      </c>
      <c r="I2651" s="851" t="s">
        <v>1586</v>
      </c>
      <c r="J2651" s="850" t="s">
        <v>1586</v>
      </c>
      <c r="K2651" s="849"/>
      <c r="M2651" s="283">
        <v>118</v>
      </c>
      <c r="O2651" s="283" t="s">
        <v>1141</v>
      </c>
      <c r="P2651" s="283">
        <f>P2832</f>
        <v>2.41</v>
      </c>
      <c r="Q2651" s="374"/>
      <c r="R2651" s="283">
        <f t="shared" si="261"/>
        <v>284.38</v>
      </c>
      <c r="W2651" s="744"/>
      <c r="AA2651" s="746"/>
      <c r="AB2651" s="783">
        <f>AE2642</f>
        <v>4.2999999999999997E-2</v>
      </c>
      <c r="AC2651" s="283" t="s">
        <v>869</v>
      </c>
      <c r="AD2651" s="283" t="s">
        <v>2488</v>
      </c>
      <c r="AE2651" s="283">
        <f t="shared" ref="AE2651:AE2661" si="262">V2603</f>
        <v>99400</v>
      </c>
      <c r="AF2651" s="374" t="s">
        <v>869</v>
      </c>
      <c r="AG2651" s="283">
        <f t="shared" ref="AG2651:AG2661" si="263">AB2651*AE2651</f>
        <v>4274.2</v>
      </c>
      <c r="AH2651" s="783"/>
    </row>
    <row r="2652" spans="6:34" ht="37.5" customHeight="1">
      <c r="F2652" s="849"/>
      <c r="G2652" s="849"/>
      <c r="H2652" s="849"/>
      <c r="I2652" s="849"/>
      <c r="J2652" s="850"/>
      <c r="K2652" s="849"/>
      <c r="Q2652" s="374"/>
      <c r="R2652" s="785" t="s">
        <v>146</v>
      </c>
      <c r="W2652" s="744"/>
      <c r="AA2652" s="746"/>
      <c r="AB2652" s="783">
        <f>AE2647</f>
        <v>4.0800000000000003E-2</v>
      </c>
      <c r="AC2652" s="283" t="s">
        <v>869</v>
      </c>
      <c r="AD2652" s="786" t="s">
        <v>3950</v>
      </c>
      <c r="AE2652" s="283">
        <f t="shared" si="262"/>
        <v>107000</v>
      </c>
      <c r="AF2652" s="374" t="s">
        <v>869</v>
      </c>
      <c r="AG2652" s="283">
        <f t="shared" si="263"/>
        <v>4365.6000000000004</v>
      </c>
      <c r="AH2652" s="783"/>
    </row>
    <row r="2653" spans="6:34" ht="34.5" customHeight="1">
      <c r="F2653" s="849"/>
      <c r="G2653" s="849"/>
      <c r="H2653" s="850" t="s">
        <v>2000</v>
      </c>
      <c r="I2653" s="849"/>
      <c r="J2653" s="850"/>
      <c r="K2653" s="849"/>
      <c r="N2653" s="751"/>
      <c r="O2653" s="751" t="s">
        <v>552</v>
      </c>
      <c r="Q2653" s="374"/>
      <c r="R2653" s="751">
        <f>SUM(R2641:R2651)</f>
        <v>15951.53</v>
      </c>
      <c r="W2653" s="744"/>
      <c r="AA2653" s="746"/>
      <c r="AB2653" s="783">
        <f>AE2638</f>
        <v>3.4424999999999999</v>
      </c>
      <c r="AC2653" s="283" t="s">
        <v>609</v>
      </c>
      <c r="AD2653" s="786" t="s">
        <v>883</v>
      </c>
      <c r="AE2653" s="283">
        <f t="shared" si="262"/>
        <v>1537</v>
      </c>
      <c r="AF2653" s="374" t="s">
        <v>609</v>
      </c>
      <c r="AG2653" s="283">
        <f t="shared" si="263"/>
        <v>5291.12</v>
      </c>
      <c r="AH2653" s="783"/>
    </row>
    <row r="2654" spans="6:34" ht="24" customHeight="1">
      <c r="F2654" s="849"/>
      <c r="G2654" s="849"/>
      <c r="H2654" s="850"/>
      <c r="I2654" s="849"/>
      <c r="J2654" s="850"/>
      <c r="K2654" s="849"/>
      <c r="N2654" s="751"/>
      <c r="O2654" s="751"/>
      <c r="Q2654" s="374"/>
      <c r="R2654" s="785" t="s">
        <v>146</v>
      </c>
      <c r="W2654" s="744"/>
      <c r="AA2654" s="746"/>
      <c r="AB2654" s="746">
        <v>2</v>
      </c>
      <c r="AC2654" s="283" t="s">
        <v>1873</v>
      </c>
      <c r="AD2654" s="283" t="s">
        <v>3736</v>
      </c>
      <c r="AE2654" s="283">
        <v>450</v>
      </c>
      <c r="AF2654" s="374" t="s">
        <v>1398</v>
      </c>
      <c r="AG2654" s="283">
        <f t="shared" si="263"/>
        <v>900</v>
      </c>
      <c r="AH2654" s="783"/>
    </row>
    <row r="2655" spans="6:34" ht="24" customHeight="1">
      <c r="F2655" s="849"/>
      <c r="G2655" s="849"/>
      <c r="H2655" s="850" t="s">
        <v>2001</v>
      </c>
      <c r="I2655" s="849"/>
      <c r="J2655" s="850"/>
      <c r="K2655" s="849"/>
      <c r="N2655" s="751"/>
      <c r="O2655" s="751" t="s">
        <v>642</v>
      </c>
      <c r="Q2655" s="374"/>
      <c r="R2655" s="751">
        <f>R2653/M2644</f>
        <v>7153.15</v>
      </c>
      <c r="W2655" s="744"/>
      <c r="AA2655" s="746"/>
      <c r="AB2655" s="746">
        <v>6</v>
      </c>
      <c r="AC2655" s="283" t="s">
        <v>1873</v>
      </c>
      <c r="AD2655" s="283" t="s">
        <v>3737</v>
      </c>
      <c r="AE2655" s="283">
        <v>79</v>
      </c>
      <c r="AF2655" s="374" t="s">
        <v>1398</v>
      </c>
      <c r="AG2655" s="283">
        <f t="shared" si="263"/>
        <v>474</v>
      </c>
      <c r="AH2655" s="783"/>
    </row>
    <row r="2656" spans="6:34" ht="24" customHeight="1">
      <c r="F2656" s="849"/>
      <c r="G2656" s="849"/>
      <c r="H2656" s="850" t="s">
        <v>454</v>
      </c>
      <c r="I2656" s="849"/>
      <c r="J2656" s="850"/>
      <c r="K2656" s="849"/>
      <c r="N2656" s="751"/>
      <c r="Q2656" s="374"/>
      <c r="R2656" s="785" t="s">
        <v>146</v>
      </c>
      <c r="W2656" s="744"/>
      <c r="AA2656" s="783"/>
      <c r="AB2656" s="746">
        <v>4</v>
      </c>
      <c r="AC2656" s="283" t="s">
        <v>1873</v>
      </c>
      <c r="AD2656" s="283" t="s">
        <v>3738</v>
      </c>
      <c r="AE2656" s="283">
        <v>130</v>
      </c>
      <c r="AF2656" s="374" t="s">
        <v>1398</v>
      </c>
      <c r="AG2656" s="283">
        <f t="shared" si="263"/>
        <v>520</v>
      </c>
      <c r="AH2656" s="783"/>
    </row>
    <row r="2657" spans="6:34" ht="24" customHeight="1">
      <c r="F2657" s="849"/>
      <c r="G2657" s="849"/>
      <c r="H2657" s="850" t="s">
        <v>455</v>
      </c>
      <c r="I2657" s="849"/>
      <c r="J2657" s="850"/>
      <c r="K2657" s="849"/>
      <c r="M2657" s="283" t="s">
        <v>880</v>
      </c>
      <c r="O2657" s="283" t="s">
        <v>1999</v>
      </c>
      <c r="W2657" s="744"/>
      <c r="AA2657" s="783"/>
      <c r="AB2657" s="746">
        <v>1</v>
      </c>
      <c r="AC2657" s="283" t="s">
        <v>1873</v>
      </c>
      <c r="AD2657" s="283" t="s">
        <v>3739</v>
      </c>
      <c r="AE2657" s="283">
        <v>985</v>
      </c>
      <c r="AF2657" s="374" t="s">
        <v>1398</v>
      </c>
      <c r="AG2657" s="283">
        <f t="shared" si="263"/>
        <v>985</v>
      </c>
      <c r="AH2657" s="783"/>
    </row>
    <row r="2658" spans="6:34" ht="24" customHeight="1">
      <c r="F2658" s="849"/>
      <c r="G2658" s="849"/>
      <c r="H2658" s="850" t="s">
        <v>456</v>
      </c>
      <c r="I2658" s="849"/>
      <c r="J2658" s="850"/>
      <c r="K2658" s="849"/>
      <c r="O2658" s="283" t="s">
        <v>1586</v>
      </c>
      <c r="P2658" s="283" t="s">
        <v>1586</v>
      </c>
      <c r="Q2658" s="283" t="s">
        <v>1586</v>
      </c>
      <c r="W2658" s="744"/>
      <c r="AA2658" s="783"/>
      <c r="AB2658" s="746">
        <v>2</v>
      </c>
      <c r="AC2658" s="283" t="s">
        <v>1873</v>
      </c>
      <c r="AD2658" s="283" t="s">
        <v>3731</v>
      </c>
      <c r="AE2658" s="283">
        <v>24.6</v>
      </c>
      <c r="AF2658" s="374" t="s">
        <v>1398</v>
      </c>
      <c r="AG2658" s="283">
        <f t="shared" si="263"/>
        <v>49.2</v>
      </c>
      <c r="AH2658" s="783"/>
    </row>
    <row r="2659" spans="6:34" ht="24" customHeight="1">
      <c r="F2659" s="849"/>
      <c r="G2659" s="849"/>
      <c r="H2659" s="850" t="s">
        <v>881</v>
      </c>
      <c r="I2659" s="849"/>
      <c r="J2659" s="850" t="s">
        <v>975</v>
      </c>
      <c r="K2659" s="852">
        <v>3.7699999999999997E-2</v>
      </c>
      <c r="W2659" s="744"/>
      <c r="AA2659" s="783"/>
      <c r="AB2659" s="746">
        <v>2</v>
      </c>
      <c r="AC2659" s="283" t="s">
        <v>1873</v>
      </c>
      <c r="AD2659" s="283" t="s">
        <v>1982</v>
      </c>
      <c r="AE2659" s="283">
        <f t="shared" si="262"/>
        <v>49.55</v>
      </c>
      <c r="AF2659" s="374" t="s">
        <v>1398</v>
      </c>
      <c r="AG2659" s="283">
        <f t="shared" si="263"/>
        <v>99.1</v>
      </c>
    </row>
    <row r="2660" spans="6:34" ht="24" customHeight="1">
      <c r="F2660" s="849"/>
      <c r="G2660" s="849"/>
      <c r="H2660" s="850" t="s">
        <v>695</v>
      </c>
      <c r="I2660" s="849"/>
      <c r="J2660" s="853" t="s">
        <v>975</v>
      </c>
      <c r="K2660" s="853" t="s">
        <v>975</v>
      </c>
      <c r="O2660" s="283" t="s">
        <v>2000</v>
      </c>
      <c r="W2660" s="744"/>
      <c r="AA2660" s="746"/>
      <c r="AB2660" s="746"/>
      <c r="AE2660" s="283">
        <f t="shared" si="262"/>
        <v>0</v>
      </c>
      <c r="AF2660" s="374"/>
      <c r="AG2660" s="283">
        <f t="shared" si="263"/>
        <v>0</v>
      </c>
    </row>
    <row r="2661" spans="6:34" ht="24" customHeight="1">
      <c r="F2661" s="849"/>
      <c r="G2661" s="849"/>
      <c r="H2661" s="850" t="s">
        <v>1830</v>
      </c>
      <c r="I2661" s="849"/>
      <c r="J2661" s="850"/>
      <c r="K2661" s="853" t="s">
        <v>975</v>
      </c>
      <c r="W2661" s="744"/>
      <c r="AA2661" s="746"/>
      <c r="AB2661" s="746">
        <v>118</v>
      </c>
      <c r="AD2661" s="283" t="s">
        <v>1141</v>
      </c>
      <c r="AE2661" s="283">
        <f t="shared" si="262"/>
        <v>2.41</v>
      </c>
      <c r="AF2661" s="374"/>
      <c r="AG2661" s="283">
        <f t="shared" si="263"/>
        <v>284.38</v>
      </c>
    </row>
    <row r="2662" spans="6:34" ht="24" customHeight="1">
      <c r="F2662" s="849"/>
      <c r="G2662" s="849"/>
      <c r="H2662" s="849"/>
      <c r="I2662" s="849"/>
      <c r="J2662" s="850"/>
      <c r="K2662" s="849"/>
      <c r="O2662" s="283" t="s">
        <v>2001</v>
      </c>
      <c r="W2662" s="744"/>
      <c r="AA2662" s="746"/>
      <c r="AB2662" s="746"/>
      <c r="AC2662" s="751"/>
      <c r="AD2662" s="751" t="s">
        <v>552</v>
      </c>
      <c r="AF2662" s="374"/>
      <c r="AG2662" s="751">
        <f>SUM(AG2650:AG2661)</f>
        <v>19787.080000000002</v>
      </c>
    </row>
    <row r="2663" spans="6:34" ht="24" customHeight="1">
      <c r="F2663" s="854">
        <v>1.18E-2</v>
      </c>
      <c r="G2663" s="849" t="s">
        <v>869</v>
      </c>
      <c r="H2663" s="850" t="s">
        <v>692</v>
      </c>
      <c r="I2663" s="849">
        <f>AC26</f>
        <v>111600</v>
      </c>
      <c r="J2663" s="850" t="s">
        <v>869</v>
      </c>
      <c r="K2663" s="849">
        <f t="shared" ref="K2663:K2672" si="264">(F2663*I2663)</f>
        <v>1316.88</v>
      </c>
      <c r="O2663" s="283" t="s">
        <v>454</v>
      </c>
      <c r="W2663" s="744"/>
      <c r="AA2663" s="746"/>
      <c r="AB2663" s="746"/>
      <c r="AC2663" s="751"/>
      <c r="AD2663" s="751"/>
      <c r="AF2663" s="374"/>
      <c r="AG2663" s="785" t="s">
        <v>146</v>
      </c>
    </row>
    <row r="2664" spans="6:34" ht="24" customHeight="1">
      <c r="F2664" s="854">
        <v>3.7699999999999997E-2</v>
      </c>
      <c r="G2664" s="849" t="s">
        <v>869</v>
      </c>
      <c r="H2664" s="850" t="s">
        <v>693</v>
      </c>
      <c r="I2664" s="849">
        <f>AC27</f>
        <v>99400</v>
      </c>
      <c r="J2664" s="850" t="s">
        <v>869</v>
      </c>
      <c r="K2664" s="849">
        <f t="shared" si="264"/>
        <v>3747.38</v>
      </c>
      <c r="O2664" s="283" t="s">
        <v>455</v>
      </c>
      <c r="W2664" s="744"/>
      <c r="AA2664" s="746"/>
      <c r="AB2664" s="746"/>
      <c r="AC2664" s="751"/>
      <c r="AD2664" s="751" t="s">
        <v>2489</v>
      </c>
      <c r="AF2664" s="374"/>
      <c r="AG2664" s="751">
        <f>AG2662/3.4425</f>
        <v>5747.88</v>
      </c>
    </row>
    <row r="2665" spans="6:34" ht="24" customHeight="1">
      <c r="F2665" s="854">
        <v>1.8550000000000001E-2</v>
      </c>
      <c r="G2665" s="849" t="s">
        <v>869</v>
      </c>
      <c r="H2665" s="850" t="s">
        <v>886</v>
      </c>
      <c r="I2665" s="849">
        <f>AE33</f>
        <v>13690</v>
      </c>
      <c r="J2665" s="850" t="s">
        <v>869</v>
      </c>
      <c r="K2665" s="849">
        <f t="shared" si="264"/>
        <v>253.95</v>
      </c>
      <c r="O2665" s="283" t="s">
        <v>456</v>
      </c>
      <c r="W2665" s="744"/>
      <c r="AA2665" s="746"/>
      <c r="AE2665" s="374"/>
    </row>
    <row r="2666" spans="6:34" ht="24" customHeight="1">
      <c r="F2666" s="854">
        <v>1.36</v>
      </c>
      <c r="G2666" s="849" t="s">
        <v>609</v>
      </c>
      <c r="H2666" s="850" t="s">
        <v>887</v>
      </c>
      <c r="I2666" s="849">
        <v>269.10000000000002</v>
      </c>
      <c r="J2666" s="850" t="s">
        <v>609</v>
      </c>
      <c r="K2666" s="849">
        <f t="shared" si="264"/>
        <v>365.98</v>
      </c>
      <c r="O2666" s="283" t="s">
        <v>881</v>
      </c>
      <c r="Q2666" s="283" t="s">
        <v>975</v>
      </c>
      <c r="R2666" s="283">
        <v>0.04</v>
      </c>
      <c r="W2666" s="744"/>
      <c r="AA2666" s="746"/>
      <c r="AE2666" s="374"/>
    </row>
    <row r="2667" spans="6:34" ht="24" customHeight="1">
      <c r="F2667" s="854">
        <v>2.0499999999999998</v>
      </c>
      <c r="G2667" s="849" t="s">
        <v>609</v>
      </c>
      <c r="H2667" s="850" t="s">
        <v>1506</v>
      </c>
      <c r="I2667" s="849">
        <f>D30</f>
        <v>1281</v>
      </c>
      <c r="J2667" s="850" t="s">
        <v>609</v>
      </c>
      <c r="K2667" s="849">
        <f t="shared" si="264"/>
        <v>2626.05</v>
      </c>
      <c r="O2667" s="283" t="s">
        <v>695</v>
      </c>
      <c r="Q2667" s="283" t="s">
        <v>975</v>
      </c>
      <c r="R2667" s="283" t="s">
        <v>975</v>
      </c>
      <c r="W2667" s="744"/>
      <c r="AA2667" s="746"/>
      <c r="AE2667" s="374"/>
    </row>
    <row r="2668" spans="6:34" ht="24" customHeight="1">
      <c r="F2668" s="849">
        <v>2</v>
      </c>
      <c r="G2668" s="849" t="s">
        <v>868</v>
      </c>
      <c r="H2668" s="850" t="s">
        <v>1389</v>
      </c>
      <c r="I2668" s="849">
        <f>E286</f>
        <v>57</v>
      </c>
      <c r="J2668" s="850" t="s">
        <v>868</v>
      </c>
      <c r="K2668" s="849">
        <f t="shared" si="264"/>
        <v>114</v>
      </c>
      <c r="O2668" s="283" t="s">
        <v>1830</v>
      </c>
      <c r="R2668" s="283" t="s">
        <v>975</v>
      </c>
      <c r="W2668" s="744"/>
      <c r="AA2668" s="746"/>
      <c r="AB2668" s="751"/>
      <c r="AC2668" s="751"/>
      <c r="AE2668" s="374"/>
      <c r="AF2668" s="751"/>
    </row>
    <row r="2669" spans="6:34" ht="24" customHeight="1">
      <c r="F2669" s="849">
        <v>6</v>
      </c>
      <c r="G2669" s="849" t="s">
        <v>868</v>
      </c>
      <c r="H2669" s="850" t="s">
        <v>1343</v>
      </c>
      <c r="I2669" s="849">
        <f>C283</f>
        <v>49.35</v>
      </c>
      <c r="J2669" s="850" t="s">
        <v>868</v>
      </c>
      <c r="K2669" s="849">
        <f t="shared" si="264"/>
        <v>296.10000000000002</v>
      </c>
      <c r="W2669" s="744"/>
      <c r="AA2669" s="746"/>
      <c r="AB2669" s="751"/>
      <c r="AC2669" s="751"/>
      <c r="AE2669" s="374"/>
      <c r="AF2669" s="785"/>
    </row>
    <row r="2670" spans="6:34" ht="24" customHeight="1">
      <c r="F2670" s="849">
        <v>2</v>
      </c>
      <c r="G2670" s="849" t="s">
        <v>868</v>
      </c>
      <c r="H2670" s="850" t="s">
        <v>2124</v>
      </c>
      <c r="I2670" s="849">
        <f>I1135</f>
        <v>60.9</v>
      </c>
      <c r="J2670" s="850" t="s">
        <v>868</v>
      </c>
      <c r="K2670" s="849">
        <f t="shared" si="264"/>
        <v>121.8</v>
      </c>
      <c r="M2670" s="283">
        <v>0.01</v>
      </c>
      <c r="N2670" s="283" t="s">
        <v>869</v>
      </c>
      <c r="O2670" s="283" t="s">
        <v>692</v>
      </c>
      <c r="P2670" s="283">
        <f>I2663</f>
        <v>111600</v>
      </c>
      <c r="Q2670" s="283" t="s">
        <v>869</v>
      </c>
      <c r="R2670" s="283">
        <v>764.29</v>
      </c>
      <c r="W2670" s="744"/>
      <c r="AA2670" s="746"/>
      <c r="AB2670" s="751"/>
      <c r="AC2670" s="751"/>
      <c r="AE2670" s="374"/>
      <c r="AF2670" s="751"/>
    </row>
    <row r="2671" spans="6:34" ht="24" customHeight="1">
      <c r="F2671" s="849">
        <v>1</v>
      </c>
      <c r="G2671" s="849" t="s">
        <v>868</v>
      </c>
      <c r="H2671" s="850" t="s">
        <v>1417</v>
      </c>
      <c r="I2671" s="849">
        <f>I1136</f>
        <v>63.2</v>
      </c>
      <c r="J2671" s="850" t="s">
        <v>868</v>
      </c>
      <c r="K2671" s="849">
        <f t="shared" si="264"/>
        <v>63.2</v>
      </c>
      <c r="M2671" s="283">
        <v>0.04</v>
      </c>
      <c r="N2671" s="283" t="s">
        <v>869</v>
      </c>
      <c r="O2671" s="283" t="s">
        <v>693</v>
      </c>
      <c r="P2671" s="283">
        <f>I2664</f>
        <v>99400</v>
      </c>
      <c r="Q2671" s="283" t="s">
        <v>869</v>
      </c>
      <c r="R2671" s="283">
        <v>2172.65</v>
      </c>
      <c r="W2671" s="744"/>
      <c r="AA2671" s="746"/>
    </row>
    <row r="2672" spans="6:34" ht="24" customHeight="1">
      <c r="F2672" s="849">
        <v>2.52</v>
      </c>
      <c r="G2672" s="849" t="s">
        <v>609</v>
      </c>
      <c r="H2672" s="850" t="s">
        <v>1713</v>
      </c>
      <c r="I2672" s="849">
        <f>K1168</f>
        <v>194.22</v>
      </c>
      <c r="J2672" s="850" t="s">
        <v>609</v>
      </c>
      <c r="K2672" s="849">
        <f t="shared" si="264"/>
        <v>489.43</v>
      </c>
      <c r="M2672" s="283">
        <v>0.02</v>
      </c>
      <c r="N2672" s="283" t="s">
        <v>869</v>
      </c>
      <c r="O2672" s="283" t="s">
        <v>886</v>
      </c>
      <c r="P2672" s="283">
        <f>I2665</f>
        <v>13690</v>
      </c>
      <c r="Q2672" s="283" t="s">
        <v>869</v>
      </c>
      <c r="R2672" s="283">
        <v>56.02</v>
      </c>
      <c r="W2672" s="744"/>
    </row>
    <row r="2673" spans="6:23" ht="24" customHeight="1">
      <c r="F2673" s="849"/>
      <c r="G2673" s="849"/>
      <c r="H2673" s="850" t="s">
        <v>1414</v>
      </c>
      <c r="I2673" s="855" t="s">
        <v>449</v>
      </c>
      <c r="J2673" s="850"/>
      <c r="K2673" s="849">
        <v>2.13</v>
      </c>
      <c r="M2673" s="283">
        <v>1.36</v>
      </c>
      <c r="N2673" s="283" t="s">
        <v>609</v>
      </c>
      <c r="O2673" s="283" t="s">
        <v>887</v>
      </c>
      <c r="P2673" s="283">
        <v>385.89</v>
      </c>
      <c r="Q2673" s="283" t="s">
        <v>609</v>
      </c>
      <c r="R2673" s="283">
        <v>524.80999999999995</v>
      </c>
      <c r="W2673" s="744"/>
    </row>
    <row r="2674" spans="6:23" ht="24" customHeight="1">
      <c r="F2674" s="849"/>
      <c r="G2674" s="849"/>
      <c r="H2674" s="856"/>
      <c r="I2674" s="856"/>
      <c r="J2674" s="749"/>
      <c r="K2674" s="857" t="s">
        <v>1586</v>
      </c>
      <c r="M2674" s="283">
        <v>2.0499999999999998</v>
      </c>
      <c r="N2674" s="283" t="s">
        <v>609</v>
      </c>
      <c r="O2674" s="283" t="s">
        <v>1506</v>
      </c>
      <c r="P2674" s="283">
        <f t="shared" ref="P2674:P2679" si="265">I2667</f>
        <v>1281</v>
      </c>
      <c r="Q2674" s="283" t="s">
        <v>609</v>
      </c>
      <c r="R2674" s="283">
        <v>586.29999999999995</v>
      </c>
      <c r="W2674" s="744"/>
    </row>
    <row r="2675" spans="6:23" ht="24" customHeight="1">
      <c r="F2675" s="849"/>
      <c r="G2675" s="849"/>
      <c r="H2675" s="858" t="s">
        <v>1415</v>
      </c>
      <c r="I2675" s="856"/>
      <c r="J2675" s="749"/>
      <c r="K2675" s="856">
        <f>SUM(K2663:K2673)</f>
        <v>9396.9</v>
      </c>
      <c r="M2675" s="283">
        <v>2</v>
      </c>
      <c r="N2675" s="283" t="s">
        <v>868</v>
      </c>
      <c r="O2675" s="283" t="s">
        <v>1389</v>
      </c>
      <c r="P2675" s="283">
        <f t="shared" si="265"/>
        <v>57</v>
      </c>
      <c r="Q2675" s="283" t="s">
        <v>868</v>
      </c>
      <c r="R2675" s="283">
        <v>50</v>
      </c>
      <c r="W2675" s="744"/>
    </row>
    <row r="2676" spans="6:23" ht="24" customHeight="1">
      <c r="F2676" s="849"/>
      <c r="G2676" s="849" t="s">
        <v>975</v>
      </c>
      <c r="H2676" s="856"/>
      <c r="I2676" s="856"/>
      <c r="J2676" s="749"/>
      <c r="K2676" s="857" t="s">
        <v>1586</v>
      </c>
      <c r="M2676" s="283">
        <v>6</v>
      </c>
      <c r="N2676" s="283" t="s">
        <v>868</v>
      </c>
      <c r="O2676" s="283" t="s">
        <v>1343</v>
      </c>
      <c r="P2676" s="283">
        <f t="shared" si="265"/>
        <v>49.35</v>
      </c>
      <c r="Q2676" s="283" t="s">
        <v>868</v>
      </c>
      <c r="R2676" s="283">
        <v>150</v>
      </c>
      <c r="W2676" s="744"/>
    </row>
    <row r="2677" spans="6:23" ht="24" customHeight="1">
      <c r="F2677" s="849"/>
      <c r="G2677" s="849"/>
      <c r="H2677" s="858" t="s">
        <v>552</v>
      </c>
      <c r="I2677" s="856"/>
      <c r="J2677" s="749"/>
      <c r="K2677" s="856">
        <f>K2675/2.52</f>
        <v>3728.93</v>
      </c>
      <c r="M2677" s="283">
        <v>2</v>
      </c>
      <c r="N2677" s="283" t="s">
        <v>868</v>
      </c>
      <c r="O2677" s="283" t="s">
        <v>1390</v>
      </c>
      <c r="P2677" s="283">
        <f t="shared" si="265"/>
        <v>60.9</v>
      </c>
      <c r="Q2677" s="283" t="s">
        <v>868</v>
      </c>
      <c r="R2677" s="283">
        <v>70</v>
      </c>
      <c r="W2677" s="744"/>
    </row>
    <row r="2678" spans="6:23" ht="24" customHeight="1">
      <c r="F2678" s="849"/>
      <c r="G2678" s="849"/>
      <c r="H2678" s="856"/>
      <c r="I2678" s="856"/>
      <c r="J2678" s="749"/>
      <c r="K2678" s="857" t="s">
        <v>2055</v>
      </c>
      <c r="M2678" s="283">
        <v>1</v>
      </c>
      <c r="N2678" s="283" t="s">
        <v>868</v>
      </c>
      <c r="O2678" s="283" t="s">
        <v>1417</v>
      </c>
      <c r="P2678" s="283">
        <f t="shared" si="265"/>
        <v>63.2</v>
      </c>
      <c r="Q2678" s="283" t="s">
        <v>868</v>
      </c>
      <c r="R2678" s="283">
        <v>60</v>
      </c>
      <c r="W2678" s="744"/>
    </row>
    <row r="2679" spans="6:23" ht="24" customHeight="1">
      <c r="F2679" s="849"/>
      <c r="G2679" s="849"/>
      <c r="H2679" s="856"/>
      <c r="I2679" s="856"/>
      <c r="J2679" s="749"/>
      <c r="K2679" s="856"/>
      <c r="M2679" s="283">
        <v>2.52</v>
      </c>
      <c r="N2679" s="283" t="s">
        <v>609</v>
      </c>
      <c r="O2679" s="283" t="s">
        <v>1713</v>
      </c>
      <c r="P2679" s="283">
        <f t="shared" si="265"/>
        <v>194.22</v>
      </c>
      <c r="Q2679" s="283" t="s">
        <v>609</v>
      </c>
      <c r="R2679" s="283">
        <v>124.71</v>
      </c>
      <c r="W2679" s="744"/>
    </row>
    <row r="2680" spans="6:23" ht="24" customHeight="1">
      <c r="F2680" s="282" t="s">
        <v>762</v>
      </c>
      <c r="G2680" s="282"/>
      <c r="H2680" s="282"/>
      <c r="I2680" s="282"/>
      <c r="J2680" s="282"/>
      <c r="K2680" s="282"/>
      <c r="O2680" s="283" t="s">
        <v>1414</v>
      </c>
      <c r="P2680" s="283" t="s">
        <v>449</v>
      </c>
      <c r="R2680" s="283">
        <v>0.28000000000000003</v>
      </c>
      <c r="W2680" s="744"/>
    </row>
    <row r="2681" spans="6:23" ht="24" customHeight="1">
      <c r="F2681" s="859">
        <v>4</v>
      </c>
      <c r="G2681" s="283" t="s">
        <v>1030</v>
      </c>
      <c r="H2681" s="283" t="s">
        <v>1031</v>
      </c>
      <c r="I2681" s="283">
        <f>C395</f>
        <v>151.4</v>
      </c>
      <c r="J2681" s="374" t="s">
        <v>895</v>
      </c>
      <c r="K2681" s="859">
        <f>I2681*F2681</f>
        <v>605.6</v>
      </c>
      <c r="R2681" s="283" t="s">
        <v>1586</v>
      </c>
      <c r="W2681" s="744"/>
    </row>
    <row r="2682" spans="6:23" ht="24" customHeight="1">
      <c r="F2682" s="859">
        <v>2.52</v>
      </c>
      <c r="G2682" s="283" t="s">
        <v>895</v>
      </c>
      <c r="H2682" s="283" t="s">
        <v>818</v>
      </c>
      <c r="I2682" s="283">
        <f>C34/1000</f>
        <v>53</v>
      </c>
      <c r="J2682" s="374" t="s">
        <v>1645</v>
      </c>
      <c r="K2682" s="859">
        <f t="shared" ref="K2682:K2688" si="266">I2682*F2682</f>
        <v>133.56</v>
      </c>
      <c r="O2682" s="283" t="s">
        <v>1415</v>
      </c>
      <c r="R2682" s="283">
        <v>4559.0600000000004</v>
      </c>
      <c r="W2682" s="744"/>
    </row>
    <row r="2683" spans="6:23" ht="16.5" customHeight="1">
      <c r="F2683" s="859">
        <v>1.1299999999999999</v>
      </c>
      <c r="G2683" s="283" t="s">
        <v>895</v>
      </c>
      <c r="H2683" s="283" t="s">
        <v>819</v>
      </c>
      <c r="I2683" s="283">
        <f>I2682</f>
        <v>53</v>
      </c>
      <c r="J2683" s="374" t="s">
        <v>1645</v>
      </c>
      <c r="K2683" s="859">
        <f t="shared" si="266"/>
        <v>59.89</v>
      </c>
      <c r="N2683" s="283" t="s">
        <v>975</v>
      </c>
      <c r="R2683" s="283" t="s">
        <v>1586</v>
      </c>
      <c r="W2683" s="744"/>
    </row>
    <row r="2684" spans="6:23" ht="53.25" customHeight="1">
      <c r="F2684" s="859">
        <v>0.35</v>
      </c>
      <c r="G2684" s="283" t="s">
        <v>1645</v>
      </c>
      <c r="H2684" s="283" t="s">
        <v>820</v>
      </c>
      <c r="I2684" s="283">
        <f>I2683</f>
        <v>53</v>
      </c>
      <c r="J2684" s="374" t="s">
        <v>1645</v>
      </c>
      <c r="K2684" s="859">
        <f t="shared" si="266"/>
        <v>18.55</v>
      </c>
      <c r="O2684" s="283" t="s">
        <v>552</v>
      </c>
      <c r="R2684" s="283">
        <v>1809.15</v>
      </c>
      <c r="W2684" s="744"/>
    </row>
    <row r="2685" spans="6:23" ht="51" customHeight="1">
      <c r="F2685" s="859">
        <v>4</v>
      </c>
      <c r="G2685" s="283" t="s">
        <v>1645</v>
      </c>
      <c r="H2685" s="283" t="s">
        <v>106</v>
      </c>
      <c r="I2685" s="283">
        <f>C37</f>
        <v>0</v>
      </c>
      <c r="J2685" s="374" t="s">
        <v>1645</v>
      </c>
      <c r="K2685" s="859">
        <f t="shared" si="266"/>
        <v>0</v>
      </c>
      <c r="R2685" s="283" t="s">
        <v>2055</v>
      </c>
      <c r="W2685" s="744"/>
    </row>
    <row r="2686" spans="6:23" ht="24" customHeight="1">
      <c r="F2686" s="859">
        <v>6</v>
      </c>
      <c r="G2686" s="283" t="s">
        <v>1030</v>
      </c>
      <c r="H2686" s="283" t="s">
        <v>107</v>
      </c>
      <c r="I2686" s="283">
        <v>1</v>
      </c>
      <c r="J2686" s="374" t="s">
        <v>1398</v>
      </c>
      <c r="K2686" s="859">
        <f t="shared" si="266"/>
        <v>6</v>
      </c>
      <c r="W2686" s="744"/>
    </row>
    <row r="2687" spans="6:23" ht="24" customHeight="1">
      <c r="F2687" s="859">
        <v>0.5</v>
      </c>
      <c r="G2687" s="283" t="s">
        <v>1030</v>
      </c>
      <c r="H2687" s="283" t="s">
        <v>654</v>
      </c>
      <c r="I2687" s="283">
        <f>C12</f>
        <v>651</v>
      </c>
      <c r="J2687" s="374" t="s">
        <v>1398</v>
      </c>
      <c r="K2687" s="859">
        <f t="shared" si="266"/>
        <v>325.5</v>
      </c>
      <c r="W2687" s="744"/>
    </row>
    <row r="2688" spans="6:23" ht="24" customHeight="1">
      <c r="F2688" s="859">
        <v>0.5</v>
      </c>
      <c r="G2688" s="283" t="s">
        <v>1030</v>
      </c>
      <c r="H2688" s="283" t="s">
        <v>355</v>
      </c>
      <c r="I2688" s="283">
        <f>C13</f>
        <v>534</v>
      </c>
      <c r="J2688" s="374" t="s">
        <v>1398</v>
      </c>
      <c r="K2688" s="859">
        <f t="shared" si="266"/>
        <v>267</v>
      </c>
      <c r="W2688" s="744"/>
    </row>
    <row r="2689" spans="6:23" ht="24" customHeight="1">
      <c r="G2689" s="283" t="s">
        <v>449</v>
      </c>
      <c r="H2689" s="283" t="s">
        <v>108</v>
      </c>
      <c r="I2689" s="784" t="s">
        <v>449</v>
      </c>
      <c r="K2689" s="283">
        <v>21.69</v>
      </c>
      <c r="L2689" s="283">
        <f>24*176</f>
        <v>4224</v>
      </c>
      <c r="W2689" s="744"/>
    </row>
    <row r="2690" spans="6:23" ht="24" customHeight="1">
      <c r="H2690" s="860" t="s">
        <v>109</v>
      </c>
      <c r="K2690" s="861">
        <f>SUM(K2681:K2689)</f>
        <v>1437.79</v>
      </c>
      <c r="W2690" s="744"/>
    </row>
    <row r="2691" spans="6:23" ht="24" customHeight="1">
      <c r="H2691" s="860" t="s">
        <v>516</v>
      </c>
      <c r="K2691" s="861">
        <f>K2690/2</f>
        <v>718.9</v>
      </c>
      <c r="W2691" s="744"/>
    </row>
    <row r="2692" spans="6:23" ht="24" customHeight="1">
      <c r="L2692" s="283">
        <f>K2726+K2717</f>
        <v>191.9</v>
      </c>
      <c r="W2692" s="744"/>
    </row>
    <row r="2693" spans="6:23" ht="24" customHeight="1">
      <c r="H2693" s="283" t="s">
        <v>1474</v>
      </c>
      <c r="W2693" s="744"/>
    </row>
    <row r="2694" spans="6:23" ht="24" customHeight="1">
      <c r="W2694" s="744"/>
    </row>
    <row r="2695" spans="6:23" ht="24" customHeight="1">
      <c r="H2695" s="825" t="s">
        <v>2085</v>
      </c>
      <c r="J2695" s="744"/>
      <c r="W2695" s="744"/>
    </row>
    <row r="2696" spans="6:23" ht="24" customHeight="1">
      <c r="H2696" s="283" t="s">
        <v>631</v>
      </c>
      <c r="J2696" s="744"/>
      <c r="W2696" s="744"/>
    </row>
    <row r="2697" spans="6:23" ht="24" customHeight="1">
      <c r="F2697" s="283">
        <v>41.6</v>
      </c>
      <c r="G2697" s="283" t="s">
        <v>1645</v>
      </c>
      <c r="H2697" s="283" t="s">
        <v>1015</v>
      </c>
      <c r="I2697" s="283">
        <f>I2682</f>
        <v>53</v>
      </c>
      <c r="J2697" s="744" t="s">
        <v>1645</v>
      </c>
      <c r="K2697" s="283">
        <f>F2697*I2697</f>
        <v>2204.8000000000002</v>
      </c>
      <c r="W2697" s="744"/>
    </row>
    <row r="2698" spans="6:23" ht="24" customHeight="1">
      <c r="F2698" s="283">
        <v>0.5</v>
      </c>
      <c r="G2698" s="283" t="s">
        <v>1394</v>
      </c>
      <c r="H2698" s="283" t="s">
        <v>1016</v>
      </c>
      <c r="I2698" s="283">
        <f>AE21</f>
        <v>766</v>
      </c>
      <c r="J2698" s="744" t="s">
        <v>1398</v>
      </c>
      <c r="K2698" s="283">
        <f>F2698*I2698</f>
        <v>383</v>
      </c>
      <c r="W2698" s="744"/>
    </row>
    <row r="2699" spans="6:23" ht="24" customHeight="1">
      <c r="F2699" s="283">
        <v>1</v>
      </c>
      <c r="G2699" s="283" t="s">
        <v>560</v>
      </c>
      <c r="H2699" s="283" t="s">
        <v>1017</v>
      </c>
      <c r="I2699" s="283">
        <f>C10</f>
        <v>999</v>
      </c>
      <c r="J2699" s="744" t="s">
        <v>1398</v>
      </c>
      <c r="K2699" s="283">
        <f>F2699*I2699</f>
        <v>999</v>
      </c>
      <c r="W2699" s="744"/>
    </row>
    <row r="2700" spans="6:23" ht="24" customHeight="1">
      <c r="F2700" s="283">
        <v>1</v>
      </c>
      <c r="G2700" s="283" t="s">
        <v>560</v>
      </c>
      <c r="H2700" s="283" t="s">
        <v>1223</v>
      </c>
      <c r="I2700" s="283">
        <f>C13</f>
        <v>534</v>
      </c>
      <c r="J2700" s="744" t="s">
        <v>1398</v>
      </c>
      <c r="K2700" s="283">
        <f>F2700*I2700</f>
        <v>534</v>
      </c>
      <c r="W2700" s="744"/>
    </row>
    <row r="2701" spans="6:23" ht="24" customHeight="1">
      <c r="G2701" s="283" t="s">
        <v>449</v>
      </c>
      <c r="H2701" s="283" t="s">
        <v>817</v>
      </c>
      <c r="J2701" s="744" t="s">
        <v>449</v>
      </c>
      <c r="K2701" s="283">
        <v>27.7</v>
      </c>
      <c r="W2701" s="744"/>
    </row>
    <row r="2702" spans="6:23" ht="24" customHeight="1">
      <c r="H2702" s="784" t="s">
        <v>1708</v>
      </c>
      <c r="J2702" s="784" t="s">
        <v>721</v>
      </c>
      <c r="K2702" s="283">
        <f>SUM(K2697:K2701)</f>
        <v>4148.5</v>
      </c>
      <c r="W2702" s="744"/>
    </row>
    <row r="2703" spans="6:23" ht="24" customHeight="1">
      <c r="H2703" s="784" t="s">
        <v>1287</v>
      </c>
      <c r="J2703" s="784" t="s">
        <v>721</v>
      </c>
      <c r="K2703" s="283">
        <f>K2702/16</f>
        <v>259.27999999999997</v>
      </c>
      <c r="W2703" s="744"/>
    </row>
    <row r="2704" spans="6:23" ht="24" customHeight="1">
      <c r="H2704" s="750" t="s">
        <v>98</v>
      </c>
      <c r="I2704" s="751"/>
      <c r="J2704" s="750" t="s">
        <v>721</v>
      </c>
      <c r="K2704" s="751">
        <f>K2703/0.95</f>
        <v>272.93</v>
      </c>
      <c r="W2704" s="744"/>
    </row>
    <row r="2705" spans="6:23" ht="24" customHeight="1">
      <c r="J2705" s="744"/>
      <c r="W2705" s="744"/>
    </row>
    <row r="2706" spans="6:23" ht="24" customHeight="1">
      <c r="J2706" s="744"/>
      <c r="W2706" s="744"/>
    </row>
    <row r="2707" spans="6:23" ht="24" customHeight="1">
      <c r="F2707" s="744" t="s">
        <v>848</v>
      </c>
      <c r="G2707" s="283" t="s">
        <v>2251</v>
      </c>
      <c r="H2707" s="374" t="s">
        <v>998</v>
      </c>
      <c r="J2707" s="744"/>
      <c r="W2707" s="744"/>
    </row>
    <row r="2708" spans="6:23" ht="50.25" customHeight="1">
      <c r="H2708" s="374" t="s">
        <v>999</v>
      </c>
      <c r="J2708" s="744"/>
      <c r="W2708" s="744"/>
    </row>
    <row r="2709" spans="6:23" ht="24" customHeight="1">
      <c r="H2709" s="374" t="s">
        <v>1000</v>
      </c>
      <c r="J2709" s="744"/>
      <c r="W2709" s="744"/>
    </row>
    <row r="2710" spans="6:23" ht="24" customHeight="1">
      <c r="H2710" s="374" t="s">
        <v>28</v>
      </c>
      <c r="J2710" s="744"/>
      <c r="W2710" s="744"/>
    </row>
    <row r="2711" spans="6:23" ht="24" customHeight="1">
      <c r="H2711" s="748" t="s">
        <v>1586</v>
      </c>
      <c r="J2711" s="744"/>
      <c r="W2711" s="744"/>
    </row>
    <row r="2712" spans="6:23" ht="24" customHeight="1">
      <c r="F2712" s="283">
        <v>1.8</v>
      </c>
      <c r="G2712" s="283" t="s">
        <v>1645</v>
      </c>
      <c r="H2712" s="374" t="s">
        <v>1288</v>
      </c>
      <c r="I2712" s="283">
        <f>C610</f>
        <v>22.6</v>
      </c>
      <c r="J2712" s="744" t="s">
        <v>1645</v>
      </c>
      <c r="K2712" s="283">
        <f>(F2712*I2712)</f>
        <v>40.68</v>
      </c>
      <c r="W2712" s="744"/>
    </row>
    <row r="2713" spans="6:23" ht="24" customHeight="1">
      <c r="F2713" s="283">
        <v>0.25</v>
      </c>
      <c r="G2713" s="283" t="s">
        <v>868</v>
      </c>
      <c r="H2713" s="374" t="s">
        <v>29</v>
      </c>
      <c r="I2713" s="283">
        <f>C14</f>
        <v>797</v>
      </c>
      <c r="J2713" s="744" t="s">
        <v>868</v>
      </c>
      <c r="K2713" s="283">
        <f>(F2713*I2713)</f>
        <v>199.25</v>
      </c>
      <c r="W2713" s="744"/>
    </row>
    <row r="2714" spans="6:23" ht="24" customHeight="1">
      <c r="F2714" s="283">
        <v>0.25</v>
      </c>
      <c r="G2714" s="283" t="s">
        <v>868</v>
      </c>
      <c r="H2714" s="374" t="s">
        <v>934</v>
      </c>
      <c r="I2714" s="283">
        <f>C12</f>
        <v>651</v>
      </c>
      <c r="J2714" s="744" t="s">
        <v>868</v>
      </c>
      <c r="K2714" s="283">
        <f>(F2714*I2714)</f>
        <v>162.75</v>
      </c>
      <c r="W2714" s="744"/>
    </row>
    <row r="2715" spans="6:23" ht="24" customHeight="1">
      <c r="F2715" s="283">
        <v>0.4</v>
      </c>
      <c r="G2715" s="283" t="s">
        <v>868</v>
      </c>
      <c r="H2715" s="374" t="s">
        <v>320</v>
      </c>
      <c r="I2715" s="283">
        <f>C13</f>
        <v>534</v>
      </c>
      <c r="J2715" s="744" t="s">
        <v>868</v>
      </c>
      <c r="K2715" s="283">
        <f>(F2715*I2715)</f>
        <v>213.6</v>
      </c>
      <c r="W2715" s="744"/>
    </row>
    <row r="2716" spans="6:23" ht="24" customHeight="1">
      <c r="H2716" s="374"/>
      <c r="I2716" s="374" t="s">
        <v>975</v>
      </c>
      <c r="J2716" s="744"/>
      <c r="K2716" s="283">
        <f>SUM(K2712:K2715)</f>
        <v>616.28</v>
      </c>
      <c r="W2716" s="744"/>
    </row>
    <row r="2717" spans="6:23" ht="24" customHeight="1">
      <c r="H2717" s="751"/>
      <c r="I2717" s="751"/>
      <c r="J2717" s="757"/>
      <c r="K2717" s="750">
        <f>K2716/10</f>
        <v>61.63</v>
      </c>
      <c r="W2717" s="744"/>
    </row>
    <row r="2718" spans="6:23" ht="24" customHeight="1">
      <c r="F2718" s="283">
        <v>3</v>
      </c>
      <c r="G2718" s="283" t="s">
        <v>1645</v>
      </c>
      <c r="H2718" s="374" t="s">
        <v>440</v>
      </c>
      <c r="I2718" s="784">
        <f>C272</f>
        <v>49.85</v>
      </c>
      <c r="J2718" s="744" t="s">
        <v>1645</v>
      </c>
      <c r="K2718" s="784">
        <f>(F2718*I2718)</f>
        <v>149.55000000000001</v>
      </c>
      <c r="W2718" s="744"/>
    </row>
    <row r="2719" spans="6:23" ht="24" customHeight="1">
      <c r="F2719" s="283">
        <v>0.5</v>
      </c>
      <c r="G2719" s="283" t="s">
        <v>868</v>
      </c>
      <c r="H2719" s="374" t="s">
        <v>29</v>
      </c>
      <c r="I2719" s="784">
        <f>C14</f>
        <v>797</v>
      </c>
      <c r="J2719" s="744" t="s">
        <v>868</v>
      </c>
      <c r="K2719" s="784">
        <f>(F2719*I2719)</f>
        <v>398.5</v>
      </c>
      <c r="W2719" s="744"/>
    </row>
    <row r="2720" spans="6:23" ht="24" customHeight="1">
      <c r="F2720" s="283">
        <v>0.5</v>
      </c>
      <c r="G2720" s="283" t="s">
        <v>868</v>
      </c>
      <c r="H2720" s="374" t="s">
        <v>934</v>
      </c>
      <c r="I2720" s="784">
        <f>I2714</f>
        <v>651</v>
      </c>
      <c r="J2720" s="744" t="s">
        <v>868</v>
      </c>
      <c r="K2720" s="784">
        <f>(F2720*I2720)</f>
        <v>325.5</v>
      </c>
      <c r="W2720" s="744"/>
    </row>
    <row r="2721" spans="6:23" ht="24" customHeight="1">
      <c r="F2721" s="283">
        <v>0.8</v>
      </c>
      <c r="G2721" s="283" t="s">
        <v>868</v>
      </c>
      <c r="H2721" s="374" t="s">
        <v>320</v>
      </c>
      <c r="I2721" s="784">
        <f>I2715</f>
        <v>534</v>
      </c>
      <c r="J2721" s="744" t="s">
        <v>868</v>
      </c>
      <c r="K2721" s="784">
        <f>(F2721*I2721)</f>
        <v>427.2</v>
      </c>
      <c r="W2721" s="744"/>
    </row>
    <row r="2722" spans="6:23" ht="24" customHeight="1">
      <c r="G2722" s="283" t="s">
        <v>449</v>
      </c>
      <c r="H2722" s="374" t="s">
        <v>1836</v>
      </c>
      <c r="I2722" s="374" t="s">
        <v>975</v>
      </c>
      <c r="J2722" s="744" t="s">
        <v>449</v>
      </c>
      <c r="K2722" s="283">
        <v>1.9</v>
      </c>
      <c r="W2722" s="744"/>
    </row>
    <row r="2723" spans="6:23" ht="24" customHeight="1">
      <c r="H2723" s="751"/>
      <c r="I2723" s="751"/>
      <c r="J2723" s="757"/>
      <c r="K2723" s="776" t="s">
        <v>1586</v>
      </c>
      <c r="W2723" s="744"/>
    </row>
    <row r="2724" spans="6:23" ht="24" customHeight="1">
      <c r="H2724" s="745" t="s">
        <v>441</v>
      </c>
      <c r="I2724" s="751"/>
      <c r="J2724" s="757"/>
      <c r="K2724" s="751">
        <f>SUM(K2718:K2722)</f>
        <v>1302.6500000000001</v>
      </c>
      <c r="W2724" s="744"/>
    </row>
    <row r="2725" spans="6:23" ht="24" customHeight="1">
      <c r="H2725" s="751"/>
      <c r="I2725" s="751"/>
      <c r="J2725" s="757"/>
      <c r="K2725" s="776" t="s">
        <v>1586</v>
      </c>
      <c r="W2725" s="744"/>
    </row>
    <row r="2726" spans="6:23" ht="24" customHeight="1">
      <c r="H2726" s="745" t="s">
        <v>552</v>
      </c>
      <c r="I2726" s="751"/>
      <c r="J2726" s="757"/>
      <c r="K2726" s="751">
        <f>(K2724/10)</f>
        <v>130.27000000000001</v>
      </c>
      <c r="W2726" s="744"/>
    </row>
    <row r="2727" spans="6:23" ht="24" customHeight="1">
      <c r="J2727" s="283"/>
      <c r="W2727" s="744"/>
    </row>
    <row r="2728" spans="6:23" ht="24" customHeight="1">
      <c r="F2728" s="765"/>
      <c r="G2728" s="283" t="s">
        <v>2251</v>
      </c>
      <c r="H2728" s="374" t="s">
        <v>2047</v>
      </c>
      <c r="J2728" s="744"/>
      <c r="W2728" s="744"/>
    </row>
    <row r="2729" spans="6:23" ht="24" customHeight="1">
      <c r="H2729" s="374" t="s">
        <v>2277</v>
      </c>
      <c r="J2729" s="744"/>
      <c r="W2729" s="744"/>
    </row>
    <row r="2730" spans="6:23" ht="24" customHeight="1">
      <c r="H2730" s="374" t="s">
        <v>1289</v>
      </c>
      <c r="J2730" s="744"/>
      <c r="W2730" s="744"/>
    </row>
    <row r="2731" spans="6:23" ht="24" customHeight="1">
      <c r="H2731" s="748" t="s">
        <v>1586</v>
      </c>
      <c r="J2731" s="744"/>
      <c r="W2731" s="744"/>
    </row>
    <row r="2732" spans="6:23" ht="24" customHeight="1">
      <c r="G2732" s="283" t="s">
        <v>2278</v>
      </c>
      <c r="H2732" s="374" t="s">
        <v>948</v>
      </c>
      <c r="J2732" s="744"/>
      <c r="K2732" s="374" t="s">
        <v>1451</v>
      </c>
      <c r="W2732" s="744"/>
    </row>
    <row r="2733" spans="6:23" ht="24" customHeight="1">
      <c r="H2733" s="748" t="s">
        <v>1586</v>
      </c>
      <c r="J2733" s="744"/>
      <c r="K2733" s="748" t="s">
        <v>2055</v>
      </c>
      <c r="W2733" s="744"/>
    </row>
    <row r="2734" spans="6:23" ht="24" customHeight="1">
      <c r="F2734" s="283">
        <v>30</v>
      </c>
      <c r="G2734" s="283" t="s">
        <v>1771</v>
      </c>
      <c r="H2734" s="374" t="s">
        <v>1664</v>
      </c>
      <c r="I2734" s="283">
        <f>C662</f>
        <v>11.2</v>
      </c>
      <c r="J2734" s="744" t="s">
        <v>1771</v>
      </c>
      <c r="K2734" s="283">
        <f>(F2734*I2734)</f>
        <v>336</v>
      </c>
      <c r="W2734" s="744"/>
    </row>
    <row r="2735" spans="6:23" ht="24" customHeight="1">
      <c r="F2735" s="374" t="s">
        <v>975</v>
      </c>
      <c r="H2735" s="374" t="s">
        <v>1667</v>
      </c>
      <c r="I2735" s="374" t="s">
        <v>975</v>
      </c>
      <c r="J2735" s="744"/>
      <c r="K2735" s="374" t="s">
        <v>975</v>
      </c>
      <c r="W2735" s="744"/>
    </row>
    <row r="2736" spans="6:23" ht="24" customHeight="1">
      <c r="F2736" s="283">
        <v>8</v>
      </c>
      <c r="G2736" s="283" t="s">
        <v>868</v>
      </c>
      <c r="H2736" s="374" t="s">
        <v>2144</v>
      </c>
      <c r="I2736" s="283">
        <f>I1807</f>
        <v>8.9</v>
      </c>
      <c r="J2736" s="744" t="s">
        <v>868</v>
      </c>
      <c r="K2736" s="283">
        <f t="shared" ref="K2736:K2741" si="267">(F2736*I2736)</f>
        <v>71.2</v>
      </c>
      <c r="W2736" s="744"/>
    </row>
    <row r="2737" spans="6:23" ht="24" customHeight="1">
      <c r="F2737" s="283">
        <v>8</v>
      </c>
      <c r="G2737" s="283" t="s">
        <v>868</v>
      </c>
      <c r="H2737" s="374" t="s">
        <v>467</v>
      </c>
      <c r="I2737" s="283">
        <f>I1808</f>
        <v>12.65</v>
      </c>
      <c r="J2737" s="744" t="s">
        <v>868</v>
      </c>
      <c r="K2737" s="283">
        <f t="shared" si="267"/>
        <v>101.2</v>
      </c>
      <c r="L2737" s="804"/>
      <c r="W2737" s="744"/>
    </row>
    <row r="2738" spans="6:23" ht="24" customHeight="1">
      <c r="F2738" s="283">
        <v>3</v>
      </c>
      <c r="G2738" s="283" t="s">
        <v>868</v>
      </c>
      <c r="H2738" s="374" t="s">
        <v>1845</v>
      </c>
      <c r="I2738" s="283">
        <f>C41</f>
        <v>738</v>
      </c>
      <c r="J2738" s="744" t="s">
        <v>868</v>
      </c>
      <c r="K2738" s="283">
        <f t="shared" si="267"/>
        <v>2214</v>
      </c>
      <c r="L2738" s="806"/>
      <c r="W2738" s="744"/>
    </row>
    <row r="2739" spans="6:23" ht="24" customHeight="1">
      <c r="F2739" s="283">
        <v>1</v>
      </c>
      <c r="G2739" s="283" t="s">
        <v>868</v>
      </c>
      <c r="H2739" s="374" t="s">
        <v>1380</v>
      </c>
      <c r="I2739" s="283">
        <f>C10</f>
        <v>999</v>
      </c>
      <c r="J2739" s="744" t="s">
        <v>868</v>
      </c>
      <c r="K2739" s="283">
        <f t="shared" si="267"/>
        <v>999</v>
      </c>
      <c r="L2739" s="806"/>
      <c r="W2739" s="744"/>
    </row>
    <row r="2740" spans="6:23" ht="24" customHeight="1">
      <c r="F2740" s="283">
        <v>2</v>
      </c>
      <c r="G2740" s="283" t="s">
        <v>868</v>
      </c>
      <c r="H2740" s="374" t="s">
        <v>1902</v>
      </c>
      <c r="I2740" s="283">
        <f>C12</f>
        <v>651</v>
      </c>
      <c r="J2740" s="744" t="s">
        <v>868</v>
      </c>
      <c r="K2740" s="283">
        <f t="shared" si="267"/>
        <v>1302</v>
      </c>
      <c r="L2740" s="806"/>
      <c r="W2740" s="744"/>
    </row>
    <row r="2741" spans="6:23" ht="24" customHeight="1">
      <c r="F2741" s="283">
        <v>1</v>
      </c>
      <c r="G2741" s="283" t="s">
        <v>868</v>
      </c>
      <c r="H2741" s="374" t="s">
        <v>320</v>
      </c>
      <c r="I2741" s="283">
        <f>C13</f>
        <v>534</v>
      </c>
      <c r="J2741" s="744" t="s">
        <v>868</v>
      </c>
      <c r="K2741" s="283">
        <f t="shared" si="267"/>
        <v>534</v>
      </c>
      <c r="L2741" s="806"/>
      <c r="W2741" s="744"/>
    </row>
    <row r="2742" spans="6:23" ht="36.75" customHeight="1">
      <c r="G2742" s="283" t="s">
        <v>449</v>
      </c>
      <c r="H2742" s="777" t="s">
        <v>66</v>
      </c>
      <c r="I2742" s="283" t="s">
        <v>67</v>
      </c>
      <c r="J2742" s="744" t="s">
        <v>449</v>
      </c>
      <c r="K2742" s="283">
        <v>64.849999999999994</v>
      </c>
      <c r="L2742" s="806"/>
      <c r="W2742" s="744"/>
    </row>
    <row r="2743" spans="6:23" ht="24" customHeight="1">
      <c r="H2743" s="374"/>
      <c r="J2743" s="744"/>
      <c r="K2743" s="784"/>
      <c r="L2743" s="806"/>
      <c r="W2743" s="744"/>
    </row>
    <row r="2744" spans="6:23" ht="24" customHeight="1">
      <c r="J2744" s="283"/>
      <c r="L2744" s="806"/>
      <c r="W2744" s="744"/>
    </row>
    <row r="2745" spans="6:23" ht="24" customHeight="1">
      <c r="J2745" s="744"/>
      <c r="K2745" s="748" t="s">
        <v>1586</v>
      </c>
      <c r="L2745" s="806"/>
      <c r="W2745" s="744"/>
    </row>
    <row r="2746" spans="6:23" ht="24" customHeight="1">
      <c r="H2746" s="745" t="s">
        <v>1850</v>
      </c>
      <c r="I2746" s="751"/>
      <c r="J2746" s="757"/>
      <c r="K2746" s="751">
        <f>SUM(K2734:K2745)</f>
        <v>5622.25</v>
      </c>
      <c r="L2746" s="812"/>
      <c r="W2746" s="744"/>
    </row>
    <row r="2747" spans="6:23" ht="24" customHeight="1">
      <c r="H2747" s="751"/>
      <c r="I2747" s="751"/>
      <c r="J2747" s="757"/>
      <c r="K2747" s="776" t="s">
        <v>1586</v>
      </c>
      <c r="W2747" s="744"/>
    </row>
    <row r="2748" spans="6:23" ht="24" customHeight="1">
      <c r="H2748" s="745" t="s">
        <v>1545</v>
      </c>
      <c r="I2748" s="751"/>
      <c r="J2748" s="757"/>
      <c r="K2748" s="751">
        <f>(K2746/30)</f>
        <v>187.41</v>
      </c>
      <c r="W2748" s="744"/>
    </row>
    <row r="2749" spans="6:23" ht="24" customHeight="1">
      <c r="J2749" s="283"/>
      <c r="W2749" s="744"/>
    </row>
    <row r="2750" spans="6:23" ht="24" customHeight="1">
      <c r="J2750" s="283"/>
      <c r="W2750" s="744"/>
    </row>
    <row r="2751" spans="6:23" ht="24" customHeight="1">
      <c r="F2751" s="774">
        <v>52</v>
      </c>
      <c r="G2751" s="283" t="s">
        <v>2251</v>
      </c>
      <c r="H2751" s="374" t="s">
        <v>99</v>
      </c>
      <c r="J2751" s="744"/>
      <c r="W2751" s="744"/>
    </row>
    <row r="2752" spans="6:23" ht="24" customHeight="1">
      <c r="H2752" s="374" t="s">
        <v>2169</v>
      </c>
      <c r="J2752" s="744"/>
      <c r="W2752" s="744"/>
    </row>
    <row r="2753" spans="5:23" ht="24" customHeight="1">
      <c r="H2753" s="374" t="s">
        <v>2170</v>
      </c>
      <c r="J2753" s="744"/>
      <c r="W2753" s="744"/>
    </row>
    <row r="2754" spans="5:23" ht="24" customHeight="1">
      <c r="H2754" s="374" t="s">
        <v>1406</v>
      </c>
      <c r="J2754" s="744"/>
      <c r="W2754" s="744"/>
    </row>
    <row r="2755" spans="5:23" ht="24" customHeight="1">
      <c r="H2755" s="374" t="s">
        <v>1407</v>
      </c>
      <c r="J2755" s="744"/>
      <c r="W2755" s="744"/>
    </row>
    <row r="2756" spans="5:23" ht="24" customHeight="1">
      <c r="E2756" s="283">
        <f>6*0.3</f>
        <v>1.8</v>
      </c>
      <c r="H2756" s="374" t="s">
        <v>723</v>
      </c>
      <c r="J2756" s="744"/>
      <c r="W2756" s="744"/>
    </row>
    <row r="2757" spans="5:23" ht="24" customHeight="1">
      <c r="E2757" s="283">
        <f>3.5+E2756</f>
        <v>5.3</v>
      </c>
      <c r="H2757" s="374" t="s">
        <v>1352</v>
      </c>
      <c r="J2757" s="744"/>
      <c r="L2757" s="283">
        <f>K2791</f>
        <v>233</v>
      </c>
      <c r="W2757" s="744"/>
    </row>
    <row r="2758" spans="5:23" ht="24" customHeight="1">
      <c r="E2758" s="283">
        <f>3.14*0.3*0.3</f>
        <v>0.28000000000000003</v>
      </c>
      <c r="H2758" s="374" t="s">
        <v>710</v>
      </c>
      <c r="J2758" s="744"/>
      <c r="L2758" s="283">
        <f>K2792</f>
        <v>2278.5</v>
      </c>
      <c r="W2758" s="744"/>
    </row>
    <row r="2759" spans="5:23" ht="24" customHeight="1">
      <c r="H2759" s="748" t="s">
        <v>2055</v>
      </c>
      <c r="I2759" s="748" t="s">
        <v>2055</v>
      </c>
      <c r="J2759" s="744"/>
      <c r="W2759" s="744"/>
    </row>
    <row r="2760" spans="5:23" ht="24" customHeight="1">
      <c r="E2760" s="283">
        <f>E2758/4</f>
        <v>7.0000000000000007E-2</v>
      </c>
      <c r="G2760" s="283" t="s">
        <v>2251</v>
      </c>
      <c r="H2760" s="374" t="s">
        <v>918</v>
      </c>
      <c r="J2760" s="744"/>
      <c r="L2760" s="283">
        <f>SUM(L2757:L2758)</f>
        <v>2511.5</v>
      </c>
      <c r="W2760" s="744"/>
    </row>
    <row r="2761" spans="5:23" ht="24" customHeight="1">
      <c r="E2761" s="783">
        <f>E2760*E2757</f>
        <v>0.371</v>
      </c>
      <c r="H2761" s="374" t="s">
        <v>806</v>
      </c>
      <c r="J2761" s="744"/>
      <c r="W2761" s="744"/>
    </row>
    <row r="2762" spans="5:23" ht="24" customHeight="1">
      <c r="G2762" s="283" t="s">
        <v>316</v>
      </c>
      <c r="H2762" s="374" t="s">
        <v>807</v>
      </c>
      <c r="J2762" s="744"/>
      <c r="W2762" s="744"/>
    </row>
    <row r="2763" spans="5:23" ht="24" customHeight="1">
      <c r="H2763" s="748" t="s">
        <v>1586</v>
      </c>
      <c r="J2763" s="744"/>
      <c r="W2763" s="744"/>
    </row>
    <row r="2764" spans="5:23" ht="24" customHeight="1">
      <c r="F2764" s="283">
        <v>1</v>
      </c>
      <c r="G2764" s="283" t="s">
        <v>826</v>
      </c>
      <c r="H2764" s="374" t="s">
        <v>618</v>
      </c>
      <c r="I2764" s="283">
        <f>I1871</f>
        <v>26</v>
      </c>
      <c r="J2764" s="744" t="s">
        <v>826</v>
      </c>
      <c r="K2764" s="283">
        <f>(F2764*I2764)</f>
        <v>26</v>
      </c>
      <c r="W2764" s="744"/>
    </row>
    <row r="2765" spans="5:23" ht="24" customHeight="1">
      <c r="F2765" s="283">
        <v>1</v>
      </c>
      <c r="G2765" s="283" t="s">
        <v>449</v>
      </c>
      <c r="H2765" s="374" t="s">
        <v>1801</v>
      </c>
      <c r="I2765" s="283">
        <f>I2764*0.7</f>
        <v>18.2</v>
      </c>
      <c r="J2765" s="744" t="s">
        <v>449</v>
      </c>
      <c r="K2765" s="283">
        <f>(F2765*I2765)</f>
        <v>18.2</v>
      </c>
      <c r="W2765" s="744"/>
    </row>
    <row r="2766" spans="5:23" ht="24" customHeight="1">
      <c r="F2766" s="283">
        <v>1</v>
      </c>
      <c r="G2766" s="283" t="s">
        <v>826</v>
      </c>
      <c r="H2766" s="374" t="s">
        <v>161</v>
      </c>
      <c r="I2766" s="283">
        <f>K2748</f>
        <v>187.41</v>
      </c>
      <c r="J2766" s="744" t="s">
        <v>826</v>
      </c>
      <c r="K2766" s="283">
        <f>(F2766*I2766)</f>
        <v>187.41</v>
      </c>
      <c r="W2766" s="744"/>
    </row>
    <row r="2767" spans="5:23" ht="24" customHeight="1">
      <c r="I2767" s="374" t="s">
        <v>975</v>
      </c>
      <c r="J2767" s="744"/>
      <c r="K2767" s="748"/>
      <c r="W2767" s="744"/>
    </row>
    <row r="2768" spans="5:23" ht="24" customHeight="1">
      <c r="H2768" s="745" t="s">
        <v>377</v>
      </c>
      <c r="I2768" s="751"/>
      <c r="J2768" s="757"/>
      <c r="K2768" s="751">
        <f>SUM(K2764:K2766)</f>
        <v>231.61</v>
      </c>
      <c r="W2768" s="744"/>
    </row>
    <row r="2769" spans="6:29" ht="24" customHeight="1">
      <c r="H2769" s="374" t="s">
        <v>975</v>
      </c>
      <c r="I2769" s="374" t="s">
        <v>975</v>
      </c>
      <c r="J2769" s="744"/>
      <c r="K2769" s="748" t="s">
        <v>2055</v>
      </c>
      <c r="S2769" s="771" t="s">
        <v>564</v>
      </c>
      <c r="T2769" s="283" t="s">
        <v>2251</v>
      </c>
      <c r="U2769" s="374" t="s">
        <v>331</v>
      </c>
      <c r="W2769" s="744"/>
    </row>
    <row r="2770" spans="6:29" ht="24" customHeight="1">
      <c r="J2770" s="283"/>
      <c r="U2770" s="374" t="s">
        <v>256</v>
      </c>
      <c r="W2770" s="744"/>
    </row>
    <row r="2771" spans="6:29" ht="24" customHeight="1">
      <c r="F2771" s="862"/>
      <c r="G2771" s="815"/>
      <c r="H2771" s="815"/>
      <c r="I2771" s="815"/>
      <c r="J2771" s="815"/>
      <c r="K2771" s="815"/>
      <c r="U2771" s="374" t="s">
        <v>1470</v>
      </c>
      <c r="W2771" s="744"/>
    </row>
    <row r="2772" spans="6:29" ht="24" customHeight="1">
      <c r="F2772" s="863"/>
      <c r="G2772" s="751" t="s">
        <v>966</v>
      </c>
      <c r="J2772" s="744"/>
      <c r="U2772" s="748" t="s">
        <v>1586</v>
      </c>
      <c r="W2772" s="744"/>
    </row>
    <row r="2773" spans="6:29" ht="24" customHeight="1">
      <c r="F2773" s="817"/>
      <c r="J2773" s="744"/>
      <c r="U2773" s="374" t="s">
        <v>1882</v>
      </c>
      <c r="W2773" s="744"/>
    </row>
    <row r="2774" spans="6:29" ht="24" customHeight="1">
      <c r="F2774" s="817">
        <v>5</v>
      </c>
      <c r="G2774" s="283" t="s">
        <v>967</v>
      </c>
      <c r="H2774" s="283" t="s">
        <v>4261</v>
      </c>
      <c r="I2774" s="283">
        <v>160</v>
      </c>
      <c r="J2774" s="744" t="s">
        <v>968</v>
      </c>
      <c r="K2774" s="283">
        <f>I2774*F2774</f>
        <v>800</v>
      </c>
      <c r="U2774" s="374" t="s">
        <v>1883</v>
      </c>
      <c r="W2774" s="744"/>
    </row>
    <row r="2775" spans="6:29" ht="24" customHeight="1">
      <c r="F2775" s="817">
        <v>1</v>
      </c>
      <c r="G2775" s="283" t="s">
        <v>1394</v>
      </c>
      <c r="H2775" s="283" t="s">
        <v>765</v>
      </c>
      <c r="I2775" s="283">
        <v>75</v>
      </c>
      <c r="J2775" s="744" t="s">
        <v>1398</v>
      </c>
      <c r="K2775" s="283">
        <f>I2775*F2775</f>
        <v>75</v>
      </c>
      <c r="W2775" s="744" t="s">
        <v>1586</v>
      </c>
    </row>
    <row r="2776" spans="6:29" ht="24" customHeight="1">
      <c r="F2776" s="817">
        <v>2.5</v>
      </c>
      <c r="G2776" s="283" t="s">
        <v>1394</v>
      </c>
      <c r="H2776" s="283" t="s">
        <v>766</v>
      </c>
      <c r="I2776" s="283">
        <f>C14</f>
        <v>797</v>
      </c>
      <c r="J2776" s="744" t="s">
        <v>1394</v>
      </c>
      <c r="K2776" s="283">
        <f>I2776*F2776</f>
        <v>1992.5</v>
      </c>
      <c r="U2776" s="374" t="s">
        <v>1301</v>
      </c>
      <c r="W2776" s="744"/>
    </row>
    <row r="2777" spans="6:29" ht="24" customHeight="1">
      <c r="F2777" s="817"/>
      <c r="H2777" s="283" t="s">
        <v>2271</v>
      </c>
      <c r="I2777" s="784" t="s">
        <v>449</v>
      </c>
      <c r="J2777" s="744"/>
      <c r="K2777" s="283">
        <v>0.25</v>
      </c>
      <c r="U2777" s="374" t="s">
        <v>1302</v>
      </c>
      <c r="W2777" s="744"/>
      <c r="X2777" s="782">
        <v>2.7099999999999999E-2</v>
      </c>
    </row>
    <row r="2778" spans="6:29" ht="24" customHeight="1">
      <c r="F2778" s="817"/>
      <c r="J2778" s="744"/>
      <c r="K2778" s="758" t="s">
        <v>2055</v>
      </c>
      <c r="W2778" s="744" t="s">
        <v>975</v>
      </c>
      <c r="X2778" s="748" t="s">
        <v>1586</v>
      </c>
      <c r="Y2778" s="782">
        <f>SUM(X2779:X2780)</f>
        <v>1.6420000000000001E-2</v>
      </c>
    </row>
    <row r="2779" spans="6:29" ht="24" customHeight="1">
      <c r="F2779" s="817"/>
      <c r="I2779" s="283" t="s">
        <v>767</v>
      </c>
      <c r="J2779" s="744" t="s">
        <v>2055</v>
      </c>
      <c r="K2779" s="751">
        <f>SUM(K2774:K2778)</f>
        <v>2867.75</v>
      </c>
      <c r="L2779" s="782">
        <f>K2812+K2811</f>
        <v>1.6420000000000001E-2</v>
      </c>
      <c r="U2779" s="374" t="s">
        <v>1303</v>
      </c>
      <c r="W2779" s="864" t="s">
        <v>975</v>
      </c>
      <c r="X2779" s="782">
        <v>1.2840000000000001E-2</v>
      </c>
    </row>
    <row r="2780" spans="6:29" ht="24" customHeight="1">
      <c r="F2780" s="818"/>
      <c r="G2780" s="819"/>
      <c r="H2780" s="819"/>
      <c r="I2780" s="819"/>
      <c r="J2780" s="865"/>
      <c r="K2780" s="866" t="s">
        <v>2055</v>
      </c>
      <c r="U2780" s="374" t="s">
        <v>944</v>
      </c>
      <c r="W2780" s="744" t="s">
        <v>975</v>
      </c>
      <c r="X2780" s="782">
        <v>3.5799999999999998E-3</v>
      </c>
    </row>
    <row r="2781" spans="6:29" ht="24" customHeight="1">
      <c r="J2781" s="744"/>
      <c r="W2781" s="744"/>
      <c r="X2781" s="748" t="s">
        <v>1586</v>
      </c>
    </row>
    <row r="2782" spans="6:29" ht="24" customHeight="1">
      <c r="F2782" s="283" t="s">
        <v>942</v>
      </c>
      <c r="J2782" s="744"/>
      <c r="S2782" s="746">
        <f>F2814</f>
        <v>1.9E-2</v>
      </c>
      <c r="T2782" s="283" t="s">
        <v>869</v>
      </c>
      <c r="U2782" s="374" t="s">
        <v>332</v>
      </c>
      <c r="V2782" s="283">
        <f>C87</f>
        <v>34300</v>
      </c>
      <c r="W2782" s="744" t="s">
        <v>869</v>
      </c>
      <c r="X2782" s="283">
        <f>(S2782*V2782)</f>
        <v>651.70000000000005</v>
      </c>
    </row>
    <row r="2783" spans="6:29" ht="24" customHeight="1">
      <c r="J2783" s="744"/>
      <c r="S2783" s="746">
        <f t="shared" ref="S2783:S2793" si="268">F2815</f>
        <v>2.7E-2</v>
      </c>
      <c r="T2783" s="283" t="s">
        <v>869</v>
      </c>
      <c r="U2783" s="374" t="s">
        <v>332</v>
      </c>
      <c r="V2783" s="283">
        <f>V2782</f>
        <v>34300</v>
      </c>
      <c r="W2783" s="744" t="s">
        <v>869</v>
      </c>
      <c r="X2783" s="283">
        <f t="shared" ref="X2783:X2793" si="269">(S2783*V2783)</f>
        <v>926.1</v>
      </c>
    </row>
    <row r="2784" spans="6:29" ht="24" customHeight="1">
      <c r="F2784" s="283" t="s">
        <v>3042</v>
      </c>
      <c r="J2784" s="744"/>
      <c r="S2784" s="746">
        <f t="shared" si="268"/>
        <v>1.6E-2</v>
      </c>
      <c r="T2784" s="283" t="s">
        <v>869</v>
      </c>
      <c r="U2784" s="374" t="s">
        <v>333</v>
      </c>
      <c r="V2784" s="283">
        <f>C88</f>
        <v>39400</v>
      </c>
      <c r="W2784" s="744" t="s">
        <v>869</v>
      </c>
      <c r="X2784" s="283">
        <f t="shared" si="269"/>
        <v>630.4</v>
      </c>
      <c r="AC2784" s="751" t="s">
        <v>1744</v>
      </c>
    </row>
    <row r="2785" spans="6:33" ht="24" customHeight="1">
      <c r="J2785" s="744"/>
      <c r="U2785" s="374"/>
      <c r="V2785" s="283">
        <f>V959</f>
        <v>0</v>
      </c>
      <c r="W2785" s="744"/>
      <c r="X2785" s="283">
        <f t="shared" si="269"/>
        <v>0</v>
      </c>
      <c r="AC2785" s="751" t="s">
        <v>1745</v>
      </c>
    </row>
    <row r="2786" spans="6:33" ht="24" customHeight="1">
      <c r="G2786" s="746">
        <v>0.745</v>
      </c>
      <c r="H2786" s="283" t="s">
        <v>2151</v>
      </c>
      <c r="J2786" s="744"/>
      <c r="S2786" s="746">
        <f t="shared" si="268"/>
        <v>1.823</v>
      </c>
      <c r="T2786" s="283" t="s">
        <v>609</v>
      </c>
      <c r="U2786" s="374" t="s">
        <v>447</v>
      </c>
      <c r="V2786" s="283">
        <f>I2818</f>
        <v>1537</v>
      </c>
      <c r="W2786" s="744" t="s">
        <v>609</v>
      </c>
      <c r="X2786" s="283">
        <f t="shared" si="269"/>
        <v>2801.95</v>
      </c>
    </row>
    <row r="2787" spans="6:33" ht="24" customHeight="1">
      <c r="J2787" s="744"/>
      <c r="S2787" s="746">
        <f t="shared" si="268"/>
        <v>2</v>
      </c>
      <c r="T2787" s="283" t="s">
        <v>769</v>
      </c>
      <c r="U2787" s="374" t="s">
        <v>1463</v>
      </c>
      <c r="V2787" s="283">
        <f t="shared" ref="V2787:V2792" si="270">I2819</f>
        <v>254.5</v>
      </c>
      <c r="W2787" s="744" t="s">
        <v>868</v>
      </c>
      <c r="X2787" s="283">
        <f t="shared" si="269"/>
        <v>509</v>
      </c>
      <c r="AB2787" s="867">
        <v>2.6159999999999999E-2</v>
      </c>
      <c r="AC2787" s="751" t="s">
        <v>869</v>
      </c>
      <c r="AD2787" s="751" t="s">
        <v>3124</v>
      </c>
      <c r="AE2787" s="751">
        <f>I2814</f>
        <v>111600</v>
      </c>
      <c r="AF2787" s="745" t="s">
        <v>869</v>
      </c>
      <c r="AG2787" s="751">
        <f>AE2787*AB2787</f>
        <v>2919.46</v>
      </c>
    </row>
    <row r="2788" spans="6:33" ht="24" customHeight="1">
      <c r="F2788" s="751" t="s">
        <v>463</v>
      </c>
      <c r="J2788" s="744"/>
      <c r="S2788" s="746">
        <f t="shared" si="268"/>
        <v>3</v>
      </c>
      <c r="T2788" s="283" t="s">
        <v>868</v>
      </c>
      <c r="U2788" s="374" t="s">
        <v>1464</v>
      </c>
      <c r="V2788" s="283">
        <f t="shared" si="270"/>
        <v>214.1</v>
      </c>
      <c r="W2788" s="744" t="s">
        <v>868</v>
      </c>
      <c r="X2788" s="283">
        <f t="shared" si="269"/>
        <v>642.29999999999995</v>
      </c>
      <c r="AB2788" s="867">
        <v>4.7809999999999998E-2</v>
      </c>
      <c r="AC2788" s="751" t="s">
        <v>869</v>
      </c>
      <c r="AD2788" s="751" t="s">
        <v>2488</v>
      </c>
      <c r="AE2788" s="751">
        <f>I2815</f>
        <v>99400</v>
      </c>
      <c r="AF2788" s="745" t="s">
        <v>869</v>
      </c>
      <c r="AG2788" s="751">
        <f t="shared" ref="AG2788:AG2797" si="271">AE2788*AB2788</f>
        <v>4752.3100000000004</v>
      </c>
    </row>
    <row r="2789" spans="6:33" ht="24" customHeight="1">
      <c r="J2789" s="744"/>
      <c r="S2789" s="746">
        <f t="shared" si="268"/>
        <v>2</v>
      </c>
      <c r="T2789" s="283" t="s">
        <v>868</v>
      </c>
      <c r="U2789" s="374" t="s">
        <v>1465</v>
      </c>
      <c r="V2789" s="283">
        <f t="shared" si="270"/>
        <v>408</v>
      </c>
      <c r="W2789" s="744" t="s">
        <v>868</v>
      </c>
      <c r="X2789" s="283">
        <f t="shared" si="269"/>
        <v>816</v>
      </c>
      <c r="AB2789" s="868">
        <v>4.5879999999999997E-2</v>
      </c>
      <c r="AC2789" s="751" t="s">
        <v>869</v>
      </c>
      <c r="AD2789" s="751" t="s">
        <v>1746</v>
      </c>
      <c r="AE2789" s="751">
        <f>I3321</f>
        <v>107000</v>
      </c>
      <c r="AF2789" s="745" t="s">
        <v>869</v>
      </c>
      <c r="AG2789" s="751">
        <f t="shared" si="271"/>
        <v>4909.16</v>
      </c>
    </row>
    <row r="2790" spans="6:33" ht="24" customHeight="1">
      <c r="F2790" s="746">
        <v>0.37</v>
      </c>
      <c r="G2790" s="283" t="s">
        <v>2151</v>
      </c>
      <c r="H2790" s="283" t="s">
        <v>3045</v>
      </c>
      <c r="I2790" s="283">
        <f>X689</f>
        <v>8527.77</v>
      </c>
      <c r="J2790" s="784" t="s">
        <v>2151</v>
      </c>
      <c r="K2790" s="283">
        <f>F2790*I2790</f>
        <v>3155.27</v>
      </c>
      <c r="S2790" s="746">
        <f t="shared" si="268"/>
        <v>1</v>
      </c>
      <c r="T2790" s="283" t="s">
        <v>868</v>
      </c>
      <c r="U2790" s="374" t="s">
        <v>1466</v>
      </c>
      <c r="V2790" s="283">
        <f t="shared" si="270"/>
        <v>836</v>
      </c>
      <c r="W2790" s="744" t="s">
        <v>868</v>
      </c>
      <c r="X2790" s="283">
        <f t="shared" si="269"/>
        <v>836</v>
      </c>
      <c r="AB2790" s="868">
        <v>3.95</v>
      </c>
      <c r="AC2790" s="751" t="s">
        <v>609</v>
      </c>
      <c r="AD2790" s="751" t="s">
        <v>883</v>
      </c>
      <c r="AE2790" s="751">
        <f>I2818</f>
        <v>1537</v>
      </c>
      <c r="AF2790" s="745" t="s">
        <v>609</v>
      </c>
      <c r="AG2790" s="751">
        <f t="shared" si="271"/>
        <v>6071.15</v>
      </c>
    </row>
    <row r="2791" spans="6:33" ht="24" customHeight="1">
      <c r="F2791" s="283">
        <v>0.25</v>
      </c>
      <c r="G2791" s="283" t="s">
        <v>1394</v>
      </c>
      <c r="H2791" s="283" t="s">
        <v>465</v>
      </c>
      <c r="I2791" s="283">
        <f>C11</f>
        <v>932</v>
      </c>
      <c r="J2791" s="784" t="s">
        <v>1398</v>
      </c>
      <c r="K2791" s="283">
        <f>F2791*I2791</f>
        <v>233</v>
      </c>
      <c r="S2791" s="746">
        <f t="shared" si="268"/>
        <v>1</v>
      </c>
      <c r="T2791" s="283" t="s">
        <v>868</v>
      </c>
      <c r="U2791" s="374" t="s">
        <v>1467</v>
      </c>
      <c r="V2791" s="283">
        <f t="shared" si="270"/>
        <v>7.3</v>
      </c>
      <c r="W2791" s="744" t="s">
        <v>868</v>
      </c>
      <c r="X2791" s="283">
        <f t="shared" si="269"/>
        <v>7.3</v>
      </c>
      <c r="AB2791" s="751">
        <v>2</v>
      </c>
      <c r="AC2791" s="751" t="s">
        <v>1873</v>
      </c>
      <c r="AD2791" s="751" t="s">
        <v>2123</v>
      </c>
      <c r="AE2791" s="751">
        <f t="shared" ref="AE2791:AE2796" si="272">I2819</f>
        <v>254.5</v>
      </c>
      <c r="AF2791" s="745" t="s">
        <v>1398</v>
      </c>
      <c r="AG2791" s="751">
        <f t="shared" si="271"/>
        <v>509</v>
      </c>
    </row>
    <row r="2792" spans="6:33" ht="24" customHeight="1">
      <c r="F2792" s="283">
        <v>3.5</v>
      </c>
      <c r="G2792" s="283" t="s">
        <v>1432</v>
      </c>
      <c r="H2792" s="283" t="s">
        <v>348</v>
      </c>
      <c r="I2792" s="283">
        <f>C12</f>
        <v>651</v>
      </c>
      <c r="J2792" s="784" t="s">
        <v>1398</v>
      </c>
      <c r="K2792" s="283">
        <f>F2792*I2792</f>
        <v>2278.5</v>
      </c>
      <c r="S2792" s="746">
        <f t="shared" si="268"/>
        <v>1</v>
      </c>
      <c r="T2792" s="283" t="s">
        <v>868</v>
      </c>
      <c r="U2792" s="374" t="s">
        <v>1982</v>
      </c>
      <c r="V2792" s="283">
        <f t="shared" si="270"/>
        <v>49.55</v>
      </c>
      <c r="W2792" s="744" t="s">
        <v>868</v>
      </c>
      <c r="X2792" s="283">
        <f t="shared" si="269"/>
        <v>49.55</v>
      </c>
      <c r="AB2792" s="751">
        <v>6</v>
      </c>
      <c r="AC2792" s="751" t="s">
        <v>1873</v>
      </c>
      <c r="AD2792" s="751" t="s">
        <v>1098</v>
      </c>
      <c r="AE2792" s="751">
        <f t="shared" si="272"/>
        <v>214.1</v>
      </c>
      <c r="AF2792" s="745" t="s">
        <v>1398</v>
      </c>
      <c r="AG2792" s="751">
        <f t="shared" si="271"/>
        <v>1284.5999999999999</v>
      </c>
    </row>
    <row r="2793" spans="6:33" ht="24" customHeight="1">
      <c r="F2793" s="283">
        <v>12</v>
      </c>
      <c r="G2793" s="283" t="s">
        <v>913</v>
      </c>
      <c r="H2793" s="283" t="s">
        <v>3043</v>
      </c>
      <c r="J2793" s="784" t="s">
        <v>913</v>
      </c>
      <c r="K2793" s="283">
        <f>I2793*F2793</f>
        <v>0</v>
      </c>
      <c r="S2793" s="746">
        <f t="shared" si="268"/>
        <v>64</v>
      </c>
      <c r="U2793" s="283" t="s">
        <v>474</v>
      </c>
      <c r="V2793" s="283">
        <f>P2832</f>
        <v>2.41</v>
      </c>
      <c r="W2793" s="744"/>
      <c r="X2793" s="283">
        <f t="shared" si="269"/>
        <v>154.24</v>
      </c>
      <c r="AB2793" s="751">
        <v>4</v>
      </c>
      <c r="AC2793" s="751" t="s">
        <v>1873</v>
      </c>
      <c r="AD2793" s="751" t="s">
        <v>1348</v>
      </c>
      <c r="AE2793" s="751">
        <f t="shared" si="272"/>
        <v>408</v>
      </c>
      <c r="AF2793" s="745" t="s">
        <v>1398</v>
      </c>
      <c r="AG2793" s="751">
        <f t="shared" si="271"/>
        <v>1632</v>
      </c>
    </row>
    <row r="2794" spans="6:33" ht="24" customHeight="1">
      <c r="G2794" s="283" t="s">
        <v>466</v>
      </c>
      <c r="H2794" s="283" t="s">
        <v>950</v>
      </c>
      <c r="J2794" s="784" t="s">
        <v>67</v>
      </c>
      <c r="K2794" s="283">
        <f>L2760*10%</f>
        <v>251.15</v>
      </c>
      <c r="U2794" s="374" t="s">
        <v>988</v>
      </c>
      <c r="W2794" s="744"/>
      <c r="X2794" s="283">
        <f>SUM(X2782:X2793)</f>
        <v>8024.54</v>
      </c>
      <c r="AB2794" s="751">
        <v>1</v>
      </c>
      <c r="AC2794" s="751" t="s">
        <v>1873</v>
      </c>
      <c r="AD2794" s="751" t="s">
        <v>1349</v>
      </c>
      <c r="AE2794" s="751">
        <f t="shared" si="272"/>
        <v>836</v>
      </c>
      <c r="AF2794" s="745" t="s">
        <v>1398</v>
      </c>
      <c r="AG2794" s="751">
        <f t="shared" si="271"/>
        <v>836</v>
      </c>
    </row>
    <row r="2795" spans="6:33" ht="24" customHeight="1">
      <c r="J2795" s="744"/>
      <c r="K2795" s="283" t="s">
        <v>951</v>
      </c>
      <c r="W2795" s="744"/>
      <c r="X2795" s="748" t="s">
        <v>1586</v>
      </c>
      <c r="AB2795" s="751">
        <v>2</v>
      </c>
      <c r="AC2795" s="751" t="s">
        <v>1873</v>
      </c>
      <c r="AD2795" s="751" t="s">
        <v>1980</v>
      </c>
      <c r="AE2795" s="751">
        <f t="shared" si="272"/>
        <v>7.3</v>
      </c>
      <c r="AF2795" s="745" t="s">
        <v>1398</v>
      </c>
      <c r="AG2795" s="751">
        <f t="shared" si="271"/>
        <v>14.6</v>
      </c>
    </row>
    <row r="2796" spans="6:33" ht="24" customHeight="1">
      <c r="J2796" s="744"/>
      <c r="U2796" s="374" t="s">
        <v>552</v>
      </c>
      <c r="W2796" s="744"/>
      <c r="X2796" s="283">
        <f>X2794/1.8225</f>
        <v>4403.04</v>
      </c>
      <c r="AB2796" s="751">
        <v>2</v>
      </c>
      <c r="AC2796" s="751" t="s">
        <v>1873</v>
      </c>
      <c r="AD2796" s="751" t="s">
        <v>1982</v>
      </c>
      <c r="AE2796" s="751">
        <f t="shared" si="272"/>
        <v>49.55</v>
      </c>
      <c r="AF2796" s="745" t="s">
        <v>1398</v>
      </c>
      <c r="AG2796" s="751">
        <f t="shared" si="271"/>
        <v>99.1</v>
      </c>
    </row>
    <row r="2797" spans="6:33" ht="24" customHeight="1">
      <c r="I2797" s="283" t="s">
        <v>3044</v>
      </c>
      <c r="J2797" s="744"/>
      <c r="K2797" s="283">
        <f>SUM(K2790:K2794)</f>
        <v>5917.92</v>
      </c>
      <c r="W2797" s="744"/>
      <c r="AB2797" s="751">
        <v>10</v>
      </c>
      <c r="AC2797" s="751"/>
      <c r="AD2797" s="751" t="s">
        <v>1742</v>
      </c>
      <c r="AE2797" s="751">
        <f>V2793</f>
        <v>2.41</v>
      </c>
      <c r="AF2797" s="745"/>
      <c r="AG2797" s="751">
        <f t="shared" si="271"/>
        <v>24.1</v>
      </c>
    </row>
    <row r="2798" spans="6:33" ht="24" customHeight="1">
      <c r="J2798" s="744"/>
      <c r="W2798" s="744"/>
      <c r="AB2798" s="751"/>
      <c r="AC2798" s="751"/>
      <c r="AD2798" s="751" t="s">
        <v>552</v>
      </c>
      <c r="AE2798" s="751"/>
      <c r="AF2798" s="745"/>
      <c r="AG2798" s="751">
        <f>SUM(AG2787:AG2797)</f>
        <v>23051.48</v>
      </c>
    </row>
    <row r="2799" spans="6:33" ht="24" customHeight="1">
      <c r="I2799" s="283" t="s">
        <v>1881</v>
      </c>
      <c r="J2799" s="744"/>
      <c r="K2799" s="283">
        <f>K2797/3.5</f>
        <v>1690.83</v>
      </c>
      <c r="W2799" s="744"/>
      <c r="AB2799" s="751"/>
      <c r="AC2799" s="751"/>
      <c r="AD2799" s="751"/>
      <c r="AE2799" s="751"/>
      <c r="AF2799" s="745"/>
      <c r="AG2799" s="844" t="s">
        <v>146</v>
      </c>
    </row>
    <row r="2800" spans="6:33" ht="24" customHeight="1">
      <c r="J2800" s="744"/>
      <c r="W2800" s="744"/>
      <c r="AB2800" s="751"/>
      <c r="AC2800" s="751"/>
      <c r="AD2800" s="751" t="s">
        <v>552</v>
      </c>
      <c r="AE2800" s="751"/>
      <c r="AF2800" s="745"/>
      <c r="AG2800" s="751">
        <f>AG2798/AB2790</f>
        <v>5835.82</v>
      </c>
    </row>
    <row r="2801" spans="6:33" ht="54.75" customHeight="1">
      <c r="F2801" s="744" t="s">
        <v>564</v>
      </c>
      <c r="G2801" s="283" t="s">
        <v>2251</v>
      </c>
      <c r="H2801" s="374" t="s">
        <v>255</v>
      </c>
      <c r="J2801" s="744"/>
      <c r="W2801" s="744"/>
      <c r="AB2801" s="751"/>
      <c r="AC2801" s="751"/>
      <c r="AD2801" s="751"/>
      <c r="AE2801" s="751"/>
      <c r="AF2801" s="745"/>
      <c r="AG2801" s="844" t="s">
        <v>146</v>
      </c>
    </row>
    <row r="2802" spans="6:33" ht="24" customHeight="1">
      <c r="H2802" s="374" t="s">
        <v>256</v>
      </c>
      <c r="J2802" s="744"/>
      <c r="W2802" s="744"/>
    </row>
    <row r="2803" spans="6:33" ht="24" customHeight="1">
      <c r="H2803" s="374" t="s">
        <v>1470</v>
      </c>
      <c r="I2803" s="751" t="s">
        <v>2211</v>
      </c>
      <c r="J2803" s="744"/>
      <c r="W2803" s="744"/>
    </row>
    <row r="2804" spans="6:33" ht="24" customHeight="1">
      <c r="H2804" s="748" t="s">
        <v>1586</v>
      </c>
      <c r="J2804" s="744"/>
      <c r="W2804" s="744"/>
    </row>
    <row r="2805" spans="6:33" ht="24" customHeight="1">
      <c r="H2805" s="374" t="s">
        <v>1882</v>
      </c>
      <c r="J2805" s="744"/>
      <c r="W2805" s="744"/>
    </row>
    <row r="2806" spans="6:33" ht="24" customHeight="1">
      <c r="H2806" s="374" t="s">
        <v>1883</v>
      </c>
      <c r="J2806" s="744"/>
      <c r="W2806" s="744"/>
    </row>
    <row r="2807" spans="6:33" ht="24" customHeight="1">
      <c r="J2807" s="744" t="s">
        <v>1586</v>
      </c>
      <c r="W2807" s="744"/>
    </row>
    <row r="2808" spans="6:33" ht="24" customHeight="1">
      <c r="H2808" s="374" t="s">
        <v>1301</v>
      </c>
      <c r="J2808" s="744"/>
      <c r="M2808" s="744" t="s">
        <v>564</v>
      </c>
      <c r="N2808" s="283" t="s">
        <v>2251</v>
      </c>
      <c r="O2808" s="374" t="s">
        <v>255</v>
      </c>
      <c r="Q2808" s="744"/>
      <c r="W2808" s="744"/>
    </row>
    <row r="2809" spans="6:33" ht="24" customHeight="1">
      <c r="H2809" s="374" t="s">
        <v>1302</v>
      </c>
      <c r="J2809" s="744"/>
      <c r="K2809" s="782">
        <v>2.7099999999999999E-2</v>
      </c>
      <c r="O2809" s="374" t="s">
        <v>256</v>
      </c>
      <c r="Q2809" s="744"/>
      <c r="W2809" s="744"/>
    </row>
    <row r="2810" spans="6:33" ht="24" customHeight="1">
      <c r="J2810" s="744" t="s">
        <v>975</v>
      </c>
      <c r="K2810" s="748" t="s">
        <v>1586</v>
      </c>
      <c r="O2810" s="374" t="s">
        <v>708</v>
      </c>
      <c r="P2810" s="751" t="s">
        <v>2210</v>
      </c>
      <c r="Q2810" s="744"/>
      <c r="W2810" s="744"/>
    </row>
    <row r="2811" spans="6:33" ht="24" customHeight="1">
      <c r="H2811" s="374" t="s">
        <v>1303</v>
      </c>
      <c r="J2811" s="864" t="s">
        <v>975</v>
      </c>
      <c r="K2811" s="782">
        <v>1.2840000000000001E-2</v>
      </c>
      <c r="O2811" s="748" t="s">
        <v>1586</v>
      </c>
      <c r="Q2811" s="744"/>
      <c r="W2811" s="744"/>
    </row>
    <row r="2812" spans="6:33" ht="24" customHeight="1">
      <c r="H2812" s="374" t="s">
        <v>2212</v>
      </c>
      <c r="J2812" s="744" t="s">
        <v>975</v>
      </c>
      <c r="K2812" s="782">
        <v>3.5799999999999998E-3</v>
      </c>
      <c r="O2812" s="374" t="s">
        <v>423</v>
      </c>
      <c r="Q2812" s="744"/>
      <c r="W2812" s="744"/>
    </row>
    <row r="2813" spans="6:33" ht="24" customHeight="1">
      <c r="F2813" s="797"/>
      <c r="J2813" s="744"/>
      <c r="K2813" s="748" t="s">
        <v>1586</v>
      </c>
      <c r="O2813" s="374" t="s">
        <v>1883</v>
      </c>
      <c r="Q2813" s="744"/>
      <c r="W2813" s="744"/>
    </row>
    <row r="2814" spans="6:33" ht="24" customHeight="1">
      <c r="F2814" s="782">
        <v>1.898E-2</v>
      </c>
      <c r="G2814" s="283" t="s">
        <v>869</v>
      </c>
      <c r="H2814" s="374" t="s">
        <v>308</v>
      </c>
      <c r="I2814" s="283">
        <f>AC26</f>
        <v>111600</v>
      </c>
      <c r="J2814" s="744" t="s">
        <v>869</v>
      </c>
      <c r="K2814" s="283">
        <f>(F2814*I2814)</f>
        <v>2118.17</v>
      </c>
      <c r="Q2814" s="744" t="s">
        <v>1586</v>
      </c>
      <c r="W2814" s="744"/>
    </row>
    <row r="2815" spans="6:33" ht="24" customHeight="1">
      <c r="F2815" s="782">
        <f>K2809</f>
        <v>2.7099999999999999E-2</v>
      </c>
      <c r="G2815" s="283" t="s">
        <v>869</v>
      </c>
      <c r="H2815" s="374" t="s">
        <v>309</v>
      </c>
      <c r="I2815" s="283">
        <f>AC27</f>
        <v>99400</v>
      </c>
      <c r="J2815" s="744" t="s">
        <v>869</v>
      </c>
      <c r="K2815" s="283">
        <f t="shared" ref="K2815:K2825" si="273">(F2815*I2815)</f>
        <v>2693.74</v>
      </c>
      <c r="O2815" s="374" t="s">
        <v>425</v>
      </c>
      <c r="Q2815" s="744"/>
      <c r="W2815" s="744"/>
    </row>
    <row r="2816" spans="6:33" ht="24" customHeight="1">
      <c r="F2816" s="782">
        <f>L2779</f>
        <v>1.6420000000000001E-2</v>
      </c>
      <c r="G2816" s="283" t="s">
        <v>869</v>
      </c>
      <c r="H2816" s="374" t="s">
        <v>310</v>
      </c>
      <c r="I2816" s="283">
        <f>AC28</f>
        <v>95000</v>
      </c>
      <c r="J2816" s="744" t="s">
        <v>869</v>
      </c>
      <c r="K2816" s="283">
        <f t="shared" si="273"/>
        <v>1559.9</v>
      </c>
      <c r="O2816" s="374" t="s">
        <v>2208</v>
      </c>
      <c r="Q2816" s="744"/>
      <c r="R2816" s="782">
        <v>2.784E-2</v>
      </c>
      <c r="W2816" s="744"/>
    </row>
    <row r="2817" spans="6:23" ht="24" customHeight="1">
      <c r="F2817" s="783"/>
      <c r="H2817" s="374" t="s">
        <v>945</v>
      </c>
      <c r="J2817" s="744"/>
      <c r="Q2817" s="744" t="s">
        <v>975</v>
      </c>
      <c r="R2817" s="748" t="s">
        <v>1586</v>
      </c>
      <c r="W2817" s="744"/>
    </row>
    <row r="2818" spans="6:23" ht="24" customHeight="1">
      <c r="F2818" s="783">
        <v>1.8225</v>
      </c>
      <c r="G2818" s="283" t="s">
        <v>609</v>
      </c>
      <c r="H2818" s="374" t="s">
        <v>447</v>
      </c>
      <c r="I2818" s="283">
        <f>I955</f>
        <v>1537</v>
      </c>
      <c r="J2818" s="744" t="s">
        <v>609</v>
      </c>
      <c r="K2818" s="283">
        <f t="shared" si="273"/>
        <v>2801.18</v>
      </c>
      <c r="O2818" s="374" t="s">
        <v>2209</v>
      </c>
      <c r="Q2818" s="864" t="s">
        <v>975</v>
      </c>
      <c r="R2818" s="782">
        <v>2.5499999999999998E-2</v>
      </c>
      <c r="W2818" s="744"/>
    </row>
    <row r="2819" spans="6:23" ht="24" customHeight="1">
      <c r="F2819" s="283">
        <v>2</v>
      </c>
      <c r="G2819" s="283" t="s">
        <v>769</v>
      </c>
      <c r="H2819" s="374" t="s">
        <v>5878</v>
      </c>
      <c r="I2819" s="283">
        <v>254.5</v>
      </c>
      <c r="J2819" s="744" t="s">
        <v>868</v>
      </c>
      <c r="K2819" s="283">
        <f t="shared" si="273"/>
        <v>509</v>
      </c>
      <c r="O2819" s="374"/>
      <c r="Q2819" s="744" t="s">
        <v>975</v>
      </c>
      <c r="R2819" s="782"/>
      <c r="W2819" s="744"/>
    </row>
    <row r="2820" spans="6:23" ht="24" customHeight="1">
      <c r="F2820" s="283">
        <v>3</v>
      </c>
      <c r="G2820" s="283" t="s">
        <v>868</v>
      </c>
      <c r="H2820" s="374" t="s">
        <v>5879</v>
      </c>
      <c r="I2820" s="283">
        <v>214.1</v>
      </c>
      <c r="J2820" s="744" t="s">
        <v>868</v>
      </c>
      <c r="K2820" s="283">
        <f t="shared" si="273"/>
        <v>642.29999999999995</v>
      </c>
      <c r="Q2820" s="744"/>
      <c r="R2820" s="748" t="s">
        <v>1586</v>
      </c>
      <c r="W2820" s="744"/>
    </row>
    <row r="2821" spans="6:23" ht="24" customHeight="1">
      <c r="F2821" s="283">
        <v>2</v>
      </c>
      <c r="G2821" s="283" t="s">
        <v>868</v>
      </c>
      <c r="H2821" s="374" t="s">
        <v>5880</v>
      </c>
      <c r="I2821" s="283">
        <v>408</v>
      </c>
      <c r="J2821" s="744" t="s">
        <v>868</v>
      </c>
      <c r="K2821" s="283">
        <f t="shared" si="273"/>
        <v>816</v>
      </c>
      <c r="M2821" s="782">
        <v>1.898E-2</v>
      </c>
      <c r="N2821" s="283" t="s">
        <v>869</v>
      </c>
      <c r="O2821" s="374" t="s">
        <v>308</v>
      </c>
      <c r="P2821" s="283">
        <f>I2814</f>
        <v>111600</v>
      </c>
      <c r="Q2821" s="744" t="s">
        <v>869</v>
      </c>
      <c r="R2821" s="283">
        <f>(M2821*P2821)</f>
        <v>2118.17</v>
      </c>
      <c r="W2821" s="744"/>
    </row>
    <row r="2822" spans="6:23" ht="24" customHeight="1">
      <c r="F2822" s="283">
        <v>1</v>
      </c>
      <c r="G2822" s="283" t="s">
        <v>868</v>
      </c>
      <c r="H2822" s="374" t="s">
        <v>5881</v>
      </c>
      <c r="I2822" s="283">
        <v>836</v>
      </c>
      <c r="J2822" s="744" t="s">
        <v>868</v>
      </c>
      <c r="K2822" s="283">
        <f t="shared" si="273"/>
        <v>836</v>
      </c>
      <c r="M2822" s="782">
        <f>R2816</f>
        <v>2.784E-2</v>
      </c>
      <c r="N2822" s="283" t="s">
        <v>869</v>
      </c>
      <c r="O2822" s="374" t="s">
        <v>309</v>
      </c>
      <c r="P2822" s="283">
        <f t="shared" ref="P2822:P2831" si="274">I2815</f>
        <v>99400</v>
      </c>
      <c r="Q2822" s="744" t="s">
        <v>869</v>
      </c>
      <c r="R2822" s="283">
        <f t="shared" ref="R2822:R2831" si="275">(M2822*P2822)</f>
        <v>2767.3</v>
      </c>
      <c r="W2822" s="744"/>
    </row>
    <row r="2823" spans="6:23" ht="24" customHeight="1">
      <c r="F2823" s="283">
        <v>1</v>
      </c>
      <c r="G2823" s="283" t="s">
        <v>868</v>
      </c>
      <c r="H2823" s="374" t="s">
        <v>1467</v>
      </c>
      <c r="I2823" s="283">
        <v>7.3</v>
      </c>
      <c r="J2823" s="744" t="s">
        <v>868</v>
      </c>
      <c r="K2823" s="283">
        <f t="shared" si="273"/>
        <v>7.3</v>
      </c>
      <c r="M2823" s="782">
        <f>R2818</f>
        <v>2.5499999999999998E-2</v>
      </c>
      <c r="N2823" s="283" t="s">
        <v>869</v>
      </c>
      <c r="O2823" s="374" t="s">
        <v>310</v>
      </c>
      <c r="P2823" s="283">
        <f t="shared" si="274"/>
        <v>95000</v>
      </c>
      <c r="Q2823" s="744" t="s">
        <v>869</v>
      </c>
      <c r="R2823" s="283">
        <f t="shared" si="275"/>
        <v>2422.5</v>
      </c>
      <c r="W2823" s="744"/>
    </row>
    <row r="2824" spans="6:23" ht="24" customHeight="1">
      <c r="F2824" s="283">
        <v>1</v>
      </c>
      <c r="G2824" s="283" t="s">
        <v>868</v>
      </c>
      <c r="H2824" s="374" t="s">
        <v>5882</v>
      </c>
      <c r="I2824" s="283">
        <v>49.55</v>
      </c>
      <c r="J2824" s="744" t="s">
        <v>868</v>
      </c>
      <c r="K2824" s="283">
        <f t="shared" si="273"/>
        <v>49.55</v>
      </c>
      <c r="M2824" s="783"/>
      <c r="O2824" s="374" t="s">
        <v>2213</v>
      </c>
      <c r="Q2824" s="744"/>
      <c r="W2824" s="744"/>
    </row>
    <row r="2825" spans="6:23" ht="24" customHeight="1">
      <c r="F2825" s="283">
        <v>64</v>
      </c>
      <c r="H2825" s="283" t="s">
        <v>3663</v>
      </c>
      <c r="I2825" s="283">
        <f>P1122</f>
        <v>2.41</v>
      </c>
      <c r="J2825" s="744"/>
      <c r="K2825" s="283">
        <f t="shared" si="273"/>
        <v>154.24</v>
      </c>
      <c r="M2825" s="783">
        <v>2.2275</v>
      </c>
      <c r="N2825" s="283" t="s">
        <v>609</v>
      </c>
      <c r="O2825" s="374" t="s">
        <v>447</v>
      </c>
      <c r="P2825" s="283">
        <f t="shared" si="274"/>
        <v>1537</v>
      </c>
      <c r="Q2825" s="744" t="s">
        <v>609</v>
      </c>
      <c r="R2825" s="283">
        <f t="shared" si="275"/>
        <v>3423.67</v>
      </c>
      <c r="W2825" s="744"/>
    </row>
    <row r="2826" spans="6:23" ht="24" customHeight="1">
      <c r="H2826" s="374" t="s">
        <v>988</v>
      </c>
      <c r="J2826" s="744"/>
      <c r="K2826" s="283">
        <f>SUM(K2814:K2825)</f>
        <v>12187.38</v>
      </c>
      <c r="M2826" s="283">
        <v>1</v>
      </c>
      <c r="N2826" s="283" t="s">
        <v>769</v>
      </c>
      <c r="O2826" s="374" t="s">
        <v>1463</v>
      </c>
      <c r="P2826" s="283">
        <f t="shared" si="274"/>
        <v>254.5</v>
      </c>
      <c r="Q2826" s="744" t="s">
        <v>868</v>
      </c>
      <c r="R2826" s="283">
        <f t="shared" si="275"/>
        <v>254.5</v>
      </c>
      <c r="W2826" s="744"/>
    </row>
    <row r="2827" spans="6:23" ht="24" customHeight="1">
      <c r="J2827" s="744"/>
      <c r="K2827" s="748" t="s">
        <v>1586</v>
      </c>
      <c r="M2827" s="283">
        <v>3</v>
      </c>
      <c r="N2827" s="283" t="s">
        <v>868</v>
      </c>
      <c r="O2827" s="374" t="s">
        <v>1464</v>
      </c>
      <c r="P2827" s="283">
        <f t="shared" si="274"/>
        <v>214.1</v>
      </c>
      <c r="Q2827" s="744" t="s">
        <v>868</v>
      </c>
      <c r="R2827" s="283">
        <f t="shared" si="275"/>
        <v>642.29999999999995</v>
      </c>
      <c r="W2827" s="744"/>
    </row>
    <row r="2828" spans="6:23" ht="24" customHeight="1">
      <c r="H2828" s="374" t="s">
        <v>552</v>
      </c>
      <c r="J2828" s="744"/>
      <c r="K2828" s="751">
        <f>K2826/F2818</f>
        <v>6687.18</v>
      </c>
      <c r="M2828" s="283">
        <v>2</v>
      </c>
      <c r="N2828" s="283" t="s">
        <v>868</v>
      </c>
      <c r="O2828" s="374" t="s">
        <v>1465</v>
      </c>
      <c r="P2828" s="283">
        <f t="shared" si="274"/>
        <v>408</v>
      </c>
      <c r="Q2828" s="744" t="s">
        <v>868</v>
      </c>
      <c r="R2828" s="283">
        <f t="shared" si="275"/>
        <v>816</v>
      </c>
      <c r="W2828" s="744"/>
    </row>
    <row r="2829" spans="6:23" ht="24" customHeight="1">
      <c r="J2829" s="744"/>
      <c r="M2829" s="283">
        <v>1</v>
      </c>
      <c r="N2829" s="283" t="s">
        <v>868</v>
      </c>
      <c r="O2829" s="374" t="s">
        <v>1466</v>
      </c>
      <c r="P2829" s="283">
        <f t="shared" si="274"/>
        <v>836</v>
      </c>
      <c r="Q2829" s="744" t="s">
        <v>868</v>
      </c>
      <c r="R2829" s="283">
        <f t="shared" si="275"/>
        <v>836</v>
      </c>
      <c r="W2829" s="744"/>
    </row>
    <row r="2830" spans="6:23" ht="24" customHeight="1">
      <c r="F2830" s="744" t="s">
        <v>564</v>
      </c>
      <c r="G2830" s="283" t="s">
        <v>2251</v>
      </c>
      <c r="H2830" s="374" t="s">
        <v>1768</v>
      </c>
      <c r="J2830" s="744"/>
      <c r="M2830" s="283">
        <v>1</v>
      </c>
      <c r="N2830" s="283" t="s">
        <v>868</v>
      </c>
      <c r="O2830" s="374" t="s">
        <v>1467</v>
      </c>
      <c r="P2830" s="283">
        <f t="shared" si="274"/>
        <v>7.3</v>
      </c>
      <c r="Q2830" s="744" t="s">
        <v>868</v>
      </c>
      <c r="R2830" s="283">
        <f t="shared" si="275"/>
        <v>7.3</v>
      </c>
      <c r="W2830" s="744"/>
    </row>
    <row r="2831" spans="6:23" ht="24" customHeight="1">
      <c r="H2831" s="374" t="s">
        <v>256</v>
      </c>
      <c r="J2831" s="744"/>
      <c r="M2831" s="283">
        <v>1</v>
      </c>
      <c r="N2831" s="283" t="s">
        <v>868</v>
      </c>
      <c r="O2831" s="374" t="s">
        <v>1982</v>
      </c>
      <c r="P2831" s="283">
        <f t="shared" si="274"/>
        <v>49.55</v>
      </c>
      <c r="Q2831" s="744" t="s">
        <v>868</v>
      </c>
      <c r="R2831" s="283">
        <f t="shared" si="275"/>
        <v>49.55</v>
      </c>
      <c r="W2831" s="744"/>
    </row>
    <row r="2832" spans="6:23" ht="24" customHeight="1">
      <c r="H2832" s="374" t="s">
        <v>1470</v>
      </c>
      <c r="J2832" s="744">
        <f>1.1*2.025</f>
        <v>2.23</v>
      </c>
      <c r="M2832" s="283">
        <v>58</v>
      </c>
      <c r="N2832" s="283" t="s">
        <v>868</v>
      </c>
      <c r="O2832" s="283" t="s">
        <v>1742</v>
      </c>
      <c r="P2832" s="283">
        <f>P1122</f>
        <v>2.41</v>
      </c>
      <c r="Q2832" s="744" t="s">
        <v>868</v>
      </c>
      <c r="R2832" s="283">
        <f>(M2832*P2832)</f>
        <v>139.78</v>
      </c>
      <c r="W2832" s="744"/>
    </row>
    <row r="2833" spans="6:23" ht="24" customHeight="1">
      <c r="H2833" s="748" t="s">
        <v>1586</v>
      </c>
      <c r="J2833" s="744"/>
      <c r="O2833" s="374" t="s">
        <v>3395</v>
      </c>
      <c r="Q2833" s="744"/>
      <c r="R2833" s="283">
        <f>SUM(R2821:R2832)</f>
        <v>13477.07</v>
      </c>
      <c r="W2833" s="744"/>
    </row>
    <row r="2834" spans="6:23" ht="28.5" customHeight="1">
      <c r="H2834" s="374" t="s">
        <v>89</v>
      </c>
      <c r="J2834" s="744"/>
      <c r="Q2834" s="744"/>
      <c r="R2834" s="748" t="s">
        <v>1586</v>
      </c>
      <c r="W2834" s="744"/>
    </row>
    <row r="2835" spans="6:23" ht="47.25">
      <c r="F2835" s="746">
        <v>1.823</v>
      </c>
      <c r="G2835" s="283" t="s">
        <v>609</v>
      </c>
      <c r="H2835" s="777" t="s">
        <v>5883</v>
      </c>
      <c r="I2835" s="283">
        <v>2180</v>
      </c>
      <c r="J2835" s="744" t="s">
        <v>609</v>
      </c>
      <c r="K2835" s="283">
        <f>F2836*I2835</f>
        <v>3974.14</v>
      </c>
      <c r="O2835" s="374" t="s">
        <v>552</v>
      </c>
      <c r="Q2835" s="744"/>
      <c r="R2835" s="283">
        <f>R2833/M2825</f>
        <v>6050.31</v>
      </c>
      <c r="W2835" s="744"/>
    </row>
    <row r="2836" spans="6:23" ht="24" customHeight="1">
      <c r="F2836" s="746">
        <v>1.823</v>
      </c>
      <c r="G2836" s="283" t="s">
        <v>609</v>
      </c>
      <c r="H2836" s="374" t="s">
        <v>5338</v>
      </c>
      <c r="I2836" s="283">
        <f>AE53</f>
        <v>0</v>
      </c>
      <c r="J2836" s="744" t="s">
        <v>609</v>
      </c>
      <c r="K2836" s="283">
        <f t="shared" ref="K2836:K2842" si="276">(F2836*I2836)</f>
        <v>0</v>
      </c>
      <c r="W2836" s="744"/>
    </row>
    <row r="2837" spans="6:23" ht="24" customHeight="1">
      <c r="F2837" s="283">
        <v>2</v>
      </c>
      <c r="G2837" s="283" t="s">
        <v>769</v>
      </c>
      <c r="H2837" s="374" t="s">
        <v>1463</v>
      </c>
      <c r="I2837" s="283">
        <f t="shared" ref="I2837:I2842" si="277">I991</f>
        <v>57.65</v>
      </c>
      <c r="J2837" s="744" t="s">
        <v>868</v>
      </c>
      <c r="K2837" s="283">
        <f t="shared" si="276"/>
        <v>115.3</v>
      </c>
      <c r="W2837" s="744"/>
    </row>
    <row r="2838" spans="6:23" ht="24" customHeight="1">
      <c r="F2838" s="283">
        <v>3</v>
      </c>
      <c r="G2838" s="283" t="s">
        <v>868</v>
      </c>
      <c r="H2838" s="374" t="s">
        <v>1464</v>
      </c>
      <c r="I2838" s="283">
        <f t="shared" si="277"/>
        <v>89.6</v>
      </c>
      <c r="J2838" s="744" t="s">
        <v>868</v>
      </c>
      <c r="K2838" s="283">
        <f t="shared" si="276"/>
        <v>268.8</v>
      </c>
      <c r="W2838" s="744"/>
    </row>
    <row r="2839" spans="6:23" ht="24" customHeight="1">
      <c r="F2839" s="283">
        <v>2</v>
      </c>
      <c r="G2839" s="283" t="s">
        <v>868</v>
      </c>
      <c r="H2839" s="374" t="s">
        <v>1465</v>
      </c>
      <c r="I2839" s="283">
        <f t="shared" si="277"/>
        <v>64.8</v>
      </c>
      <c r="J2839" s="744" t="s">
        <v>868</v>
      </c>
      <c r="K2839" s="283">
        <f t="shared" si="276"/>
        <v>129.6</v>
      </c>
      <c r="W2839" s="744"/>
    </row>
    <row r="2840" spans="6:23" ht="24" customHeight="1">
      <c r="F2840" s="283">
        <v>1</v>
      </c>
      <c r="G2840" s="283" t="s">
        <v>868</v>
      </c>
      <c r="H2840" s="374" t="s">
        <v>1466</v>
      </c>
      <c r="I2840" s="283">
        <f t="shared" si="277"/>
        <v>181</v>
      </c>
      <c r="J2840" s="744" t="s">
        <v>868</v>
      </c>
      <c r="K2840" s="283">
        <f t="shared" si="276"/>
        <v>181</v>
      </c>
      <c r="W2840" s="744"/>
    </row>
    <row r="2841" spans="6:23" ht="24" customHeight="1">
      <c r="F2841" s="283">
        <v>1</v>
      </c>
      <c r="G2841" s="283" t="s">
        <v>868</v>
      </c>
      <c r="H2841" s="374" t="s">
        <v>1467</v>
      </c>
      <c r="I2841" s="283">
        <f t="shared" si="277"/>
        <v>7.3</v>
      </c>
      <c r="J2841" s="744" t="s">
        <v>868</v>
      </c>
      <c r="K2841" s="283">
        <f t="shared" si="276"/>
        <v>7.3</v>
      </c>
      <c r="M2841" s="744" t="s">
        <v>564</v>
      </c>
      <c r="N2841" s="283" t="s">
        <v>2251</v>
      </c>
      <c r="O2841" s="374" t="s">
        <v>255</v>
      </c>
      <c r="Q2841" s="744"/>
      <c r="W2841" s="744"/>
    </row>
    <row r="2842" spans="6:23" ht="24" customHeight="1">
      <c r="F2842" s="283">
        <v>1</v>
      </c>
      <c r="G2842" s="283" t="s">
        <v>868</v>
      </c>
      <c r="H2842" s="374" t="s">
        <v>1982</v>
      </c>
      <c r="I2842" s="283">
        <f t="shared" si="277"/>
        <v>49.55</v>
      </c>
      <c r="J2842" s="744" t="s">
        <v>868</v>
      </c>
      <c r="K2842" s="283">
        <f t="shared" si="276"/>
        <v>49.55</v>
      </c>
      <c r="O2842" s="374" t="s">
        <v>256</v>
      </c>
      <c r="P2842" s="751" t="s">
        <v>3397</v>
      </c>
      <c r="Q2842" s="744"/>
      <c r="W2842" s="744"/>
    </row>
    <row r="2843" spans="6:23" ht="24" customHeight="1">
      <c r="J2843" s="744"/>
      <c r="K2843" s="784">
        <v>0.85</v>
      </c>
      <c r="O2843" s="374" t="s">
        <v>708</v>
      </c>
      <c r="P2843" s="751" t="s">
        <v>3396</v>
      </c>
      <c r="Q2843" s="744"/>
      <c r="W2843" s="744"/>
    </row>
    <row r="2844" spans="6:23" ht="24" customHeight="1">
      <c r="H2844" s="374" t="s">
        <v>1221</v>
      </c>
      <c r="J2844" s="744"/>
      <c r="K2844" s="283">
        <f>SUM(K2835:K2843)</f>
        <v>4726.54</v>
      </c>
      <c r="O2844" s="748" t="s">
        <v>1586</v>
      </c>
      <c r="Q2844" s="744"/>
      <c r="W2844" s="744"/>
    </row>
    <row r="2845" spans="6:23" ht="24" customHeight="1">
      <c r="J2845" s="744"/>
      <c r="K2845" s="748" t="s">
        <v>1586</v>
      </c>
      <c r="O2845" s="374" t="s">
        <v>3392</v>
      </c>
      <c r="Q2845" s="744"/>
      <c r="W2845" s="744"/>
    </row>
    <row r="2846" spans="6:23" ht="24" customHeight="1">
      <c r="H2846" s="374" t="s">
        <v>552</v>
      </c>
      <c r="J2846" s="744"/>
      <c r="K2846" s="283">
        <f>K2844/F2836</f>
        <v>2592.73</v>
      </c>
      <c r="O2846" s="374" t="s">
        <v>3167</v>
      </c>
      <c r="Q2846" s="744"/>
      <c r="W2846" s="744"/>
    </row>
    <row r="2847" spans="6:23" ht="24" customHeight="1">
      <c r="F2847" s="374" t="s">
        <v>975</v>
      </c>
      <c r="J2847" s="744"/>
      <c r="Q2847" s="744" t="s">
        <v>1586</v>
      </c>
      <c r="W2847" s="744"/>
    </row>
    <row r="2848" spans="6:23" ht="24" customHeight="1">
      <c r="J2848" s="744"/>
      <c r="O2848" s="374" t="s">
        <v>2387</v>
      </c>
      <c r="Q2848" s="744"/>
      <c r="W2848" s="744"/>
    </row>
    <row r="2849" spans="6:23" ht="24" customHeight="1">
      <c r="F2849" s="765" t="s">
        <v>880</v>
      </c>
      <c r="H2849" s="374" t="s">
        <v>565</v>
      </c>
      <c r="O2849" s="374" t="s">
        <v>2388</v>
      </c>
      <c r="Q2849" s="744"/>
      <c r="R2849" s="782">
        <v>2.8910000000000002E-2</v>
      </c>
      <c r="W2849" s="744"/>
    </row>
    <row r="2850" spans="6:23" ht="24" customHeight="1">
      <c r="H2850" s="748" t="s">
        <v>1586</v>
      </c>
      <c r="I2850" s="748" t="s">
        <v>1586</v>
      </c>
      <c r="J2850" s="374" t="s">
        <v>1586</v>
      </c>
      <c r="Q2850" s="744" t="s">
        <v>975</v>
      </c>
      <c r="R2850" s="748" t="s">
        <v>1586</v>
      </c>
      <c r="W2850" s="744"/>
    </row>
    <row r="2851" spans="6:23" ht="24" customHeight="1">
      <c r="O2851" s="374" t="s">
        <v>2389</v>
      </c>
      <c r="Q2851" s="864" t="s">
        <v>975</v>
      </c>
      <c r="R2851" s="782"/>
      <c r="W2851" s="744"/>
    </row>
    <row r="2852" spans="6:23" ht="24" customHeight="1">
      <c r="H2852" s="374" t="s">
        <v>2000</v>
      </c>
      <c r="O2852" s="374" t="s">
        <v>3393</v>
      </c>
      <c r="Q2852" s="744" t="s">
        <v>975</v>
      </c>
      <c r="R2852" s="782">
        <v>1.7999999999999999E-2</v>
      </c>
      <c r="W2852" s="744"/>
    </row>
    <row r="2853" spans="6:23" ht="24" customHeight="1">
      <c r="H2853" s="374"/>
      <c r="Q2853" s="744"/>
      <c r="R2853" s="748" t="s">
        <v>1586</v>
      </c>
      <c r="W2853" s="744"/>
    </row>
    <row r="2854" spans="6:23" ht="24" customHeight="1">
      <c r="H2854" s="796" t="s">
        <v>2001</v>
      </c>
      <c r="K2854" s="783"/>
      <c r="M2854" s="782">
        <v>1.9220000000000001E-2</v>
      </c>
      <c r="N2854" s="283" t="s">
        <v>869</v>
      </c>
      <c r="O2854" s="374" t="s">
        <v>308</v>
      </c>
      <c r="P2854" s="283">
        <f>P2821</f>
        <v>111600</v>
      </c>
      <c r="Q2854" s="744" t="s">
        <v>869</v>
      </c>
      <c r="R2854" s="283">
        <f>(M2854*P2854)</f>
        <v>2144.9499999999998</v>
      </c>
      <c r="W2854" s="744"/>
    </row>
    <row r="2855" spans="6:23" ht="24" customHeight="1">
      <c r="H2855" s="374" t="s">
        <v>454</v>
      </c>
      <c r="I2855" s="782">
        <f>0.0118+0.00675</f>
        <v>1.8550000000000001E-2</v>
      </c>
      <c r="M2855" s="782">
        <f>R2849</f>
        <v>2.8910000000000002E-2</v>
      </c>
      <c r="N2855" s="283" t="s">
        <v>869</v>
      </c>
      <c r="O2855" s="374" t="s">
        <v>309</v>
      </c>
      <c r="P2855" s="283">
        <f t="shared" ref="P2855:P2864" si="278">P2822</f>
        <v>99400</v>
      </c>
      <c r="Q2855" s="744" t="s">
        <v>869</v>
      </c>
      <c r="R2855" s="283">
        <f>(M2855*P2855)</f>
        <v>2873.65</v>
      </c>
      <c r="W2855" s="744"/>
    </row>
    <row r="2856" spans="6:23" ht="24" customHeight="1">
      <c r="H2856" s="374" t="s">
        <v>455</v>
      </c>
      <c r="M2856" s="782">
        <f>R2852</f>
        <v>1.7999999999999999E-2</v>
      </c>
      <c r="N2856" s="283" t="s">
        <v>869</v>
      </c>
      <c r="O2856" s="374" t="s">
        <v>310</v>
      </c>
      <c r="P2856" s="283">
        <f t="shared" si="278"/>
        <v>95000</v>
      </c>
      <c r="Q2856" s="744" t="s">
        <v>869</v>
      </c>
      <c r="R2856" s="283">
        <f>(M2856*P2856)</f>
        <v>1710</v>
      </c>
      <c r="W2856" s="744"/>
    </row>
    <row r="2857" spans="6:23" ht="24" customHeight="1">
      <c r="H2857" s="374" t="s">
        <v>456</v>
      </c>
      <c r="M2857" s="783"/>
      <c r="O2857" s="374" t="s">
        <v>2213</v>
      </c>
      <c r="Q2857" s="744"/>
      <c r="W2857" s="744"/>
    </row>
    <row r="2858" spans="6:23" ht="24" customHeight="1">
      <c r="H2858" s="374" t="s">
        <v>881</v>
      </c>
      <c r="J2858" s="374" t="s">
        <v>975</v>
      </c>
      <c r="K2858" s="782">
        <v>3.7699999999999997E-2</v>
      </c>
      <c r="M2858" s="783">
        <v>2.2549999999999999</v>
      </c>
      <c r="N2858" s="283" t="s">
        <v>609</v>
      </c>
      <c r="O2858" s="374" t="s">
        <v>447</v>
      </c>
      <c r="P2858" s="283">
        <f t="shared" si="278"/>
        <v>1537</v>
      </c>
      <c r="Q2858" s="744" t="s">
        <v>609</v>
      </c>
      <c r="R2858" s="283">
        <f t="shared" ref="R2858:R2864" si="279">(M2858*P2858)</f>
        <v>3465.94</v>
      </c>
      <c r="W2858" s="744"/>
    </row>
    <row r="2859" spans="6:23" ht="24" customHeight="1">
      <c r="H2859" s="374" t="s">
        <v>167</v>
      </c>
      <c r="J2859" s="796" t="s">
        <v>975</v>
      </c>
      <c r="K2859" s="796" t="s">
        <v>975</v>
      </c>
      <c r="M2859" s="283">
        <v>1</v>
      </c>
      <c r="N2859" s="283" t="s">
        <v>769</v>
      </c>
      <c r="O2859" s="374" t="s">
        <v>1463</v>
      </c>
      <c r="P2859" s="283">
        <f t="shared" si="278"/>
        <v>254.5</v>
      </c>
      <c r="Q2859" s="744" t="s">
        <v>868</v>
      </c>
      <c r="R2859" s="283">
        <f t="shared" si="279"/>
        <v>254.5</v>
      </c>
      <c r="W2859" s="744"/>
    </row>
    <row r="2860" spans="6:23" ht="67.5" customHeight="1">
      <c r="H2860" s="374" t="s">
        <v>1830</v>
      </c>
      <c r="K2860" s="796" t="s">
        <v>975</v>
      </c>
      <c r="M2860" s="283">
        <v>3</v>
      </c>
      <c r="N2860" s="283" t="s">
        <v>868</v>
      </c>
      <c r="O2860" s="374" t="s">
        <v>1464</v>
      </c>
      <c r="P2860" s="283">
        <f t="shared" si="278"/>
        <v>214.1</v>
      </c>
      <c r="Q2860" s="744" t="s">
        <v>868</v>
      </c>
      <c r="R2860" s="283">
        <f t="shared" si="279"/>
        <v>642.29999999999995</v>
      </c>
      <c r="W2860" s="744"/>
    </row>
    <row r="2861" spans="6:23" ht="24" customHeight="1">
      <c r="H2861" s="374"/>
      <c r="K2861" s="796"/>
      <c r="M2861" s="283">
        <v>2</v>
      </c>
      <c r="N2861" s="283" t="s">
        <v>868</v>
      </c>
      <c r="O2861" s="374" t="s">
        <v>1465</v>
      </c>
      <c r="P2861" s="283">
        <f t="shared" si="278"/>
        <v>408</v>
      </c>
      <c r="Q2861" s="744" t="s">
        <v>868</v>
      </c>
      <c r="R2861" s="283">
        <f t="shared" si="279"/>
        <v>816</v>
      </c>
      <c r="W2861" s="744"/>
    </row>
    <row r="2862" spans="6:23" ht="24" customHeight="1">
      <c r="H2862" s="374"/>
      <c r="K2862" s="796"/>
      <c r="M2862" s="283">
        <v>1</v>
      </c>
      <c r="N2862" s="283" t="s">
        <v>868</v>
      </c>
      <c r="O2862" s="374" t="s">
        <v>1466</v>
      </c>
      <c r="P2862" s="283">
        <f t="shared" si="278"/>
        <v>836</v>
      </c>
      <c r="Q2862" s="744" t="s">
        <v>868</v>
      </c>
      <c r="R2862" s="283">
        <f t="shared" si="279"/>
        <v>836</v>
      </c>
      <c r="W2862" s="744"/>
    </row>
    <row r="2863" spans="6:23" ht="24" customHeight="1">
      <c r="M2863" s="283">
        <v>1</v>
      </c>
      <c r="N2863" s="283" t="s">
        <v>868</v>
      </c>
      <c r="O2863" s="374" t="s">
        <v>1467</v>
      </c>
      <c r="P2863" s="283">
        <f t="shared" si="278"/>
        <v>7.3</v>
      </c>
      <c r="Q2863" s="744" t="s">
        <v>868</v>
      </c>
      <c r="R2863" s="283">
        <f t="shared" si="279"/>
        <v>7.3</v>
      </c>
      <c r="W2863" s="744"/>
    </row>
    <row r="2864" spans="6:23" ht="24" customHeight="1">
      <c r="F2864" s="797">
        <v>1.18E-2</v>
      </c>
      <c r="G2864" s="283" t="s">
        <v>869</v>
      </c>
      <c r="H2864" s="374" t="s">
        <v>692</v>
      </c>
      <c r="I2864" s="283">
        <f>I2814</f>
        <v>111600</v>
      </c>
      <c r="J2864" s="374" t="s">
        <v>869</v>
      </c>
      <c r="K2864" s="283">
        <f t="shared" ref="K2864:K2873" si="280">(F2864*I2864)</f>
        <v>1316.88</v>
      </c>
      <c r="M2864" s="283">
        <v>1</v>
      </c>
      <c r="N2864" s="283" t="s">
        <v>868</v>
      </c>
      <c r="O2864" s="374" t="s">
        <v>1982</v>
      </c>
      <c r="P2864" s="283">
        <f t="shared" si="278"/>
        <v>49.55</v>
      </c>
      <c r="Q2864" s="744" t="s">
        <v>868</v>
      </c>
      <c r="R2864" s="283">
        <f t="shared" si="279"/>
        <v>49.55</v>
      </c>
      <c r="W2864" s="744"/>
    </row>
    <row r="2865" spans="6:23" ht="24" customHeight="1">
      <c r="F2865" s="782">
        <v>6.7499999999999999E-3</v>
      </c>
      <c r="G2865" s="283" t="s">
        <v>869</v>
      </c>
      <c r="H2865" s="374" t="s">
        <v>693</v>
      </c>
      <c r="I2865" s="283">
        <f>I2815</f>
        <v>99400</v>
      </c>
      <c r="J2865" s="374" t="s">
        <v>869</v>
      </c>
      <c r="K2865" s="283">
        <f t="shared" si="280"/>
        <v>670.95</v>
      </c>
      <c r="M2865" s="283">
        <v>58</v>
      </c>
      <c r="N2865" s="283" t="s">
        <v>868</v>
      </c>
      <c r="O2865" s="283" t="s">
        <v>1742</v>
      </c>
      <c r="P2865" s="283">
        <f>P2832</f>
        <v>2.41</v>
      </c>
      <c r="Q2865" s="744" t="s">
        <v>868</v>
      </c>
      <c r="R2865" s="283">
        <f>(M2865*P2865)</f>
        <v>139.78</v>
      </c>
      <c r="W2865" s="744"/>
    </row>
    <row r="2866" spans="6:23" ht="24" customHeight="1">
      <c r="F2866" s="782">
        <v>1.8550000000000001E-2</v>
      </c>
      <c r="G2866" s="283" t="s">
        <v>869</v>
      </c>
      <c r="H2866" s="374" t="s">
        <v>886</v>
      </c>
      <c r="I2866" s="283">
        <f>C30</f>
        <v>13690</v>
      </c>
      <c r="J2866" s="374" t="s">
        <v>869</v>
      </c>
      <c r="K2866" s="283">
        <f t="shared" si="280"/>
        <v>253.95</v>
      </c>
      <c r="O2866" s="374" t="s">
        <v>3394</v>
      </c>
      <c r="Q2866" s="744"/>
      <c r="R2866" s="283">
        <f>SUM(R2854:R2865)+21.502</f>
        <v>12961.47</v>
      </c>
      <c r="W2866" s="744"/>
    </row>
    <row r="2867" spans="6:23" ht="24" customHeight="1">
      <c r="F2867" s="782">
        <v>2.0499999999999998</v>
      </c>
      <c r="G2867" s="283" t="s">
        <v>609</v>
      </c>
      <c r="H2867" s="374" t="s">
        <v>1627</v>
      </c>
      <c r="I2867" s="283">
        <v>840</v>
      </c>
      <c r="J2867" s="374" t="s">
        <v>609</v>
      </c>
      <c r="K2867" s="283">
        <f t="shared" si="280"/>
        <v>1722</v>
      </c>
      <c r="Q2867" s="744"/>
      <c r="R2867" s="748" t="s">
        <v>1586</v>
      </c>
      <c r="W2867" s="744"/>
    </row>
    <row r="2868" spans="6:23" ht="36" customHeight="1">
      <c r="F2868" s="782">
        <v>2.0499999999999998</v>
      </c>
      <c r="G2868" s="283" t="s">
        <v>609</v>
      </c>
      <c r="H2868" s="777" t="s">
        <v>5339</v>
      </c>
      <c r="I2868" s="283">
        <f>AE54</f>
        <v>0</v>
      </c>
      <c r="J2868" s="374" t="s">
        <v>609</v>
      </c>
      <c r="K2868" s="283">
        <f t="shared" si="280"/>
        <v>0</v>
      </c>
      <c r="O2868" s="374" t="s">
        <v>552</v>
      </c>
      <c r="Q2868" s="744"/>
      <c r="R2868" s="283">
        <f>R2866/M2858</f>
        <v>5747.88</v>
      </c>
      <c r="W2868" s="744"/>
    </row>
    <row r="2869" spans="6:23" ht="24" customHeight="1">
      <c r="F2869" s="283">
        <v>2</v>
      </c>
      <c r="G2869" s="283" t="s">
        <v>868</v>
      </c>
      <c r="H2869" s="374" t="s">
        <v>1389</v>
      </c>
      <c r="I2869" s="283">
        <f>E286</f>
        <v>57</v>
      </c>
      <c r="J2869" s="374" t="s">
        <v>868</v>
      </c>
      <c r="K2869" s="283">
        <f t="shared" si="280"/>
        <v>114</v>
      </c>
      <c r="W2869" s="744"/>
    </row>
    <row r="2870" spans="6:23" ht="24" customHeight="1">
      <c r="F2870" s="283">
        <v>8</v>
      </c>
      <c r="G2870" s="283" t="s">
        <v>868</v>
      </c>
      <c r="H2870" s="374" t="s">
        <v>1343</v>
      </c>
      <c r="I2870" s="283">
        <f>C283</f>
        <v>49.35</v>
      </c>
      <c r="J2870" s="374" t="s">
        <v>868</v>
      </c>
      <c r="K2870" s="283">
        <f t="shared" si="280"/>
        <v>394.8</v>
      </c>
      <c r="W2870" s="744"/>
    </row>
    <row r="2871" spans="6:23" ht="24" customHeight="1">
      <c r="F2871" s="283">
        <v>2</v>
      </c>
      <c r="G2871" s="283" t="s">
        <v>868</v>
      </c>
      <c r="H2871" s="374" t="s">
        <v>1390</v>
      </c>
      <c r="I2871" s="283">
        <f>I1135</f>
        <v>60.9</v>
      </c>
      <c r="J2871" s="374" t="s">
        <v>868</v>
      </c>
      <c r="K2871" s="283">
        <f t="shared" si="280"/>
        <v>121.8</v>
      </c>
      <c r="W2871" s="744"/>
    </row>
    <row r="2872" spans="6:23" ht="24" customHeight="1">
      <c r="F2872" s="283">
        <v>1</v>
      </c>
      <c r="G2872" s="283" t="s">
        <v>868</v>
      </c>
      <c r="H2872" s="374" t="s">
        <v>4269</v>
      </c>
      <c r="I2872" s="283">
        <f>I1136</f>
        <v>63.2</v>
      </c>
      <c r="J2872" s="374" t="s">
        <v>868</v>
      </c>
      <c r="K2872" s="283">
        <f t="shared" si="280"/>
        <v>63.2</v>
      </c>
      <c r="W2872" s="744"/>
    </row>
    <row r="2873" spans="6:23" ht="24" customHeight="1">
      <c r="F2873" s="746">
        <v>0.94499999999999995</v>
      </c>
      <c r="G2873" s="283" t="s">
        <v>609</v>
      </c>
      <c r="H2873" s="374" t="s">
        <v>1713</v>
      </c>
      <c r="I2873" s="283">
        <f>K1168</f>
        <v>194.22</v>
      </c>
      <c r="J2873" s="374" t="s">
        <v>609</v>
      </c>
      <c r="K2873" s="283">
        <f t="shared" si="280"/>
        <v>183.54</v>
      </c>
      <c r="W2873" s="744"/>
    </row>
    <row r="2874" spans="6:23" ht="24" customHeight="1">
      <c r="H2874" s="374" t="s">
        <v>1414</v>
      </c>
      <c r="I2874" s="744" t="s">
        <v>449</v>
      </c>
      <c r="K2874" s="283">
        <v>0.6</v>
      </c>
      <c r="W2874" s="744"/>
    </row>
    <row r="2875" spans="6:23" ht="24" customHeight="1">
      <c r="H2875" s="751"/>
      <c r="I2875" s="751"/>
      <c r="J2875" s="745"/>
      <c r="K2875" s="776" t="s">
        <v>1586</v>
      </c>
      <c r="W2875" s="744"/>
    </row>
    <row r="2876" spans="6:23" ht="24" customHeight="1">
      <c r="H2876" s="757" t="s">
        <v>1415</v>
      </c>
      <c r="I2876" s="751"/>
      <c r="J2876" s="745"/>
      <c r="K2876" s="751">
        <f>SUM(K2864:K2874)</f>
        <v>4841.72</v>
      </c>
      <c r="W2876" s="744"/>
    </row>
    <row r="2877" spans="6:23" ht="24" customHeight="1">
      <c r="G2877" s="283" t="s">
        <v>975</v>
      </c>
      <c r="H2877" s="751"/>
      <c r="I2877" s="751"/>
      <c r="J2877" s="745"/>
      <c r="K2877" s="776" t="s">
        <v>1586</v>
      </c>
      <c r="W2877" s="744"/>
    </row>
    <row r="2878" spans="6:23" ht="24" customHeight="1">
      <c r="H2878" s="757" t="s">
        <v>552</v>
      </c>
      <c r="I2878" s="751"/>
      <c r="J2878" s="745"/>
      <c r="K2878" s="751">
        <f>K2876/2.52</f>
        <v>1921.32</v>
      </c>
      <c r="W2878" s="744"/>
    </row>
    <row r="2879" spans="6:23" ht="24" customHeight="1">
      <c r="H2879" s="751"/>
      <c r="I2879" s="751"/>
      <c r="J2879" s="745"/>
      <c r="K2879" s="776" t="s">
        <v>2055</v>
      </c>
      <c r="W2879" s="744"/>
    </row>
    <row r="2880" spans="6:23" ht="24" customHeight="1">
      <c r="J2880" s="744"/>
      <c r="W2880" s="744"/>
    </row>
    <row r="2881" spans="6:23" ht="24" customHeight="1">
      <c r="H2881" s="283" t="s">
        <v>1628</v>
      </c>
      <c r="J2881" s="744"/>
      <c r="W2881" s="744"/>
    </row>
    <row r="2882" spans="6:23" ht="24" customHeight="1">
      <c r="H2882" s="283" t="s">
        <v>1329</v>
      </c>
      <c r="J2882" s="744"/>
      <c r="W2882" s="744"/>
    </row>
    <row r="2883" spans="6:23" ht="24" customHeight="1">
      <c r="J2883" s="744"/>
      <c r="W2883" s="744"/>
    </row>
    <row r="2884" spans="6:23" ht="24" customHeight="1">
      <c r="F2884" s="283">
        <v>2</v>
      </c>
      <c r="G2884" s="283" t="s">
        <v>826</v>
      </c>
      <c r="H2884" s="283" t="s">
        <v>5340</v>
      </c>
      <c r="I2884" s="283">
        <v>96.6</v>
      </c>
      <c r="J2884" s="744" t="s">
        <v>826</v>
      </c>
      <c r="K2884" s="283">
        <f>F2884*I2884</f>
        <v>193.2</v>
      </c>
      <c r="W2884" s="744"/>
    </row>
    <row r="2885" spans="6:23" ht="24" customHeight="1">
      <c r="F2885" s="283">
        <v>1</v>
      </c>
      <c r="G2885" s="283" t="s">
        <v>560</v>
      </c>
      <c r="H2885" s="283" t="s">
        <v>1330</v>
      </c>
      <c r="I2885" s="283">
        <f>C626</f>
        <v>34.299999999999997</v>
      </c>
      <c r="J2885" s="744" t="s">
        <v>1398</v>
      </c>
      <c r="K2885" s="283">
        <f>F2885*I2885</f>
        <v>34.299999999999997</v>
      </c>
      <c r="W2885" s="744"/>
    </row>
    <row r="2886" spans="6:23" ht="24" customHeight="1">
      <c r="H2886" s="283" t="s">
        <v>1346</v>
      </c>
      <c r="J2886" s="744" t="s">
        <v>449</v>
      </c>
      <c r="K2886" s="283">
        <v>1.4</v>
      </c>
      <c r="W2886" s="744"/>
    </row>
    <row r="2887" spans="6:23" ht="24" customHeight="1">
      <c r="H2887" s="784" t="s">
        <v>1347</v>
      </c>
      <c r="J2887" s="744"/>
      <c r="K2887" s="283">
        <f>SUM(K2884:K2886)</f>
        <v>228.9</v>
      </c>
      <c r="W2887" s="744"/>
    </row>
    <row r="2888" spans="6:23" ht="24" customHeight="1">
      <c r="J2888" s="744"/>
      <c r="W2888" s="744"/>
    </row>
    <row r="2889" spans="6:23" ht="24" customHeight="1">
      <c r="H2889" s="750" t="s">
        <v>1709</v>
      </c>
      <c r="I2889" s="751"/>
      <c r="J2889" s="757"/>
      <c r="K2889" s="751">
        <f>K2887/2</f>
        <v>114.45</v>
      </c>
      <c r="W2889" s="744"/>
    </row>
    <row r="2890" spans="6:23" ht="24" customHeight="1">
      <c r="J2890" s="744"/>
      <c r="W2890" s="744"/>
    </row>
    <row r="2891" spans="6:23" ht="24" customHeight="1">
      <c r="J2891" s="744"/>
      <c r="W2891" s="744"/>
    </row>
    <row r="2892" spans="6:23" ht="24" customHeight="1">
      <c r="J2892" s="744"/>
      <c r="W2892" s="744"/>
    </row>
    <row r="2893" spans="6:23" ht="24" customHeight="1">
      <c r="J2893" s="744"/>
      <c r="W2893" s="744"/>
    </row>
    <row r="2894" spans="6:23" ht="24" customHeight="1">
      <c r="H2894" s="869" t="s">
        <v>1154</v>
      </c>
      <c r="J2894" s="744"/>
      <c r="W2894" s="744"/>
    </row>
    <row r="2895" spans="6:23" ht="24" customHeight="1">
      <c r="F2895" s="744"/>
      <c r="G2895" s="283" t="s">
        <v>2251</v>
      </c>
      <c r="H2895" s="374" t="s">
        <v>1666</v>
      </c>
      <c r="J2895" s="744"/>
      <c r="W2895" s="744"/>
    </row>
    <row r="2896" spans="6:23" ht="24" customHeight="1">
      <c r="H2896" s="374" t="s">
        <v>2269</v>
      </c>
      <c r="J2896" s="744"/>
      <c r="W2896" s="744"/>
    </row>
    <row r="2897" spans="6:23" ht="24" customHeight="1">
      <c r="H2897" s="748" t="s">
        <v>1586</v>
      </c>
      <c r="J2897" s="744"/>
      <c r="W2897" s="744"/>
    </row>
    <row r="2898" spans="6:23" ht="24" customHeight="1">
      <c r="F2898" s="283">
        <v>9</v>
      </c>
      <c r="G2898" s="283" t="s">
        <v>869</v>
      </c>
      <c r="H2898" s="374" t="s">
        <v>1670</v>
      </c>
      <c r="I2898" s="283">
        <f t="shared" ref="I2898:I2903" si="281">I504</f>
        <v>866.87</v>
      </c>
      <c r="J2898" s="744" t="s">
        <v>869</v>
      </c>
      <c r="K2898" s="283">
        <f t="shared" ref="K2898:K2903" si="282">(F2898*I2898)</f>
        <v>7801.83</v>
      </c>
      <c r="W2898" s="744"/>
    </row>
    <row r="2899" spans="6:23" ht="24" customHeight="1">
      <c r="F2899" s="746">
        <v>3.2309999999999999</v>
      </c>
      <c r="G2899" s="283" t="s">
        <v>861</v>
      </c>
      <c r="H2899" s="374" t="s">
        <v>862</v>
      </c>
      <c r="I2899" s="283">
        <f t="shared" si="281"/>
        <v>6040</v>
      </c>
      <c r="J2899" s="744" t="s">
        <v>861</v>
      </c>
      <c r="K2899" s="283">
        <f t="shared" si="282"/>
        <v>19515.240000000002</v>
      </c>
      <c r="W2899" s="744"/>
    </row>
    <row r="2900" spans="6:23" ht="24" customHeight="1">
      <c r="F2900" s="283">
        <v>4.5</v>
      </c>
      <c r="G2900" s="283" t="s">
        <v>869</v>
      </c>
      <c r="H2900" s="374" t="s">
        <v>870</v>
      </c>
      <c r="I2900" s="283">
        <f t="shared" si="281"/>
        <v>2074.06</v>
      </c>
      <c r="J2900" s="744" t="s">
        <v>869</v>
      </c>
      <c r="K2900" s="283">
        <f t="shared" si="282"/>
        <v>9333.27</v>
      </c>
      <c r="W2900" s="744"/>
    </row>
    <row r="2901" spans="6:23" ht="24" customHeight="1">
      <c r="F2901" s="283">
        <v>3.5</v>
      </c>
      <c r="G2901" s="283" t="s">
        <v>868</v>
      </c>
      <c r="H2901" s="374" t="s">
        <v>1712</v>
      </c>
      <c r="I2901" s="283">
        <f t="shared" si="281"/>
        <v>932</v>
      </c>
      <c r="J2901" s="744" t="s">
        <v>868</v>
      </c>
      <c r="K2901" s="283">
        <f t="shared" si="282"/>
        <v>3262</v>
      </c>
      <c r="W2901" s="744"/>
    </row>
    <row r="2902" spans="6:23" ht="24" customHeight="1">
      <c r="F2902" s="283">
        <v>21.2</v>
      </c>
      <c r="G2902" s="283" t="s">
        <v>868</v>
      </c>
      <c r="H2902" s="374" t="s">
        <v>1902</v>
      </c>
      <c r="I2902" s="283">
        <f t="shared" si="281"/>
        <v>651</v>
      </c>
      <c r="J2902" s="744" t="s">
        <v>868</v>
      </c>
      <c r="K2902" s="283">
        <f t="shared" si="282"/>
        <v>13801.2</v>
      </c>
      <c r="W2902" s="744"/>
    </row>
    <row r="2903" spans="6:23" ht="24" customHeight="1">
      <c r="F2903" s="283">
        <v>35.299999999999997</v>
      </c>
      <c r="G2903" s="283" t="s">
        <v>868</v>
      </c>
      <c r="H2903" s="374" t="s">
        <v>320</v>
      </c>
      <c r="I2903" s="283">
        <f t="shared" si="281"/>
        <v>534</v>
      </c>
      <c r="J2903" s="744" t="s">
        <v>868</v>
      </c>
      <c r="K2903" s="283">
        <f t="shared" si="282"/>
        <v>18850.2</v>
      </c>
      <c r="W2903" s="744"/>
    </row>
    <row r="2904" spans="6:23" ht="24" customHeight="1">
      <c r="G2904" s="283" t="s">
        <v>449</v>
      </c>
      <c r="H2904" s="374" t="s">
        <v>450</v>
      </c>
      <c r="I2904" s="374" t="s">
        <v>975</v>
      </c>
      <c r="J2904" s="744" t="s">
        <v>449</v>
      </c>
      <c r="K2904" s="283">
        <v>0</v>
      </c>
      <c r="W2904" s="744"/>
    </row>
    <row r="2905" spans="6:23" ht="24" customHeight="1">
      <c r="J2905" s="744"/>
      <c r="K2905" s="748" t="s">
        <v>1586</v>
      </c>
      <c r="W2905" s="744"/>
    </row>
    <row r="2906" spans="6:23" ht="24" customHeight="1">
      <c r="H2906" s="374" t="s">
        <v>2171</v>
      </c>
      <c r="J2906" s="744"/>
      <c r="K2906" s="283">
        <f>SUM(K2898:K2904)</f>
        <v>72563.740000000005</v>
      </c>
      <c r="W2906" s="744"/>
    </row>
    <row r="2907" spans="6:23" ht="24" customHeight="1">
      <c r="J2907" s="744"/>
      <c r="K2907" s="748" t="s">
        <v>1586</v>
      </c>
      <c r="W2907" s="744"/>
    </row>
    <row r="2908" spans="6:23" ht="24" customHeight="1">
      <c r="H2908" s="374" t="s">
        <v>773</v>
      </c>
      <c r="J2908" s="744"/>
      <c r="K2908" s="283">
        <f>(K2906/10)</f>
        <v>7256.37</v>
      </c>
      <c r="W2908" s="744"/>
    </row>
    <row r="2909" spans="6:23" ht="24" customHeight="1">
      <c r="J2909" s="744"/>
      <c r="W2909" s="744"/>
    </row>
    <row r="2910" spans="6:23" ht="24" customHeight="1">
      <c r="F2910" s="283">
        <v>1</v>
      </c>
      <c r="G2910" s="283" t="s">
        <v>869</v>
      </c>
      <c r="H2910" s="374" t="s">
        <v>44</v>
      </c>
      <c r="J2910" s="744"/>
      <c r="W2910" s="744"/>
    </row>
    <row r="2911" spans="6:23" ht="24" customHeight="1">
      <c r="J2911" s="744"/>
      <c r="K2911" s="748" t="s">
        <v>1586</v>
      </c>
      <c r="W2911" s="744"/>
    </row>
    <row r="2912" spans="6:23" ht="24" customHeight="1">
      <c r="H2912" s="374" t="s">
        <v>1300</v>
      </c>
      <c r="J2912" s="744"/>
      <c r="K2912" s="283">
        <f>SUM(K2908:K2910)</f>
        <v>7256.37</v>
      </c>
      <c r="W2912" s="744"/>
    </row>
    <row r="2913" spans="6:23" ht="24" customHeight="1">
      <c r="J2913" s="744"/>
      <c r="K2913" s="748" t="s">
        <v>1586</v>
      </c>
      <c r="W2913" s="744"/>
    </row>
    <row r="2914" spans="6:23" ht="24" customHeight="1">
      <c r="G2914" s="283" t="s">
        <v>1243</v>
      </c>
      <c r="H2914" s="374" t="s">
        <v>386</v>
      </c>
      <c r="J2914" s="744"/>
      <c r="K2914" s="283">
        <f>K2912+C22</f>
        <v>7376.22</v>
      </c>
      <c r="W2914" s="744"/>
    </row>
    <row r="2915" spans="6:23" ht="24" customHeight="1">
      <c r="G2915" s="283" t="s">
        <v>1245</v>
      </c>
      <c r="H2915" s="374" t="s">
        <v>388</v>
      </c>
      <c r="J2915" s="744"/>
      <c r="K2915" s="283">
        <f>K2914+C23</f>
        <v>7612.32</v>
      </c>
      <c r="W2915" s="744"/>
    </row>
    <row r="2916" spans="6:23" ht="24" customHeight="1">
      <c r="G2916" s="283" t="s">
        <v>426</v>
      </c>
      <c r="H2916" s="374" t="s">
        <v>2232</v>
      </c>
      <c r="J2916" s="744"/>
      <c r="K2916" s="283">
        <f>K2915+C23</f>
        <v>7848.42</v>
      </c>
      <c r="W2916" s="744"/>
    </row>
    <row r="2917" spans="6:23" ht="24" customHeight="1">
      <c r="G2917" s="283" t="s">
        <v>994</v>
      </c>
      <c r="H2917" s="374" t="s">
        <v>380</v>
      </c>
      <c r="J2917" s="744"/>
      <c r="K2917" s="283">
        <f>K2916+C23</f>
        <v>8084.52</v>
      </c>
      <c r="W2917" s="744"/>
    </row>
    <row r="2918" spans="6:23" ht="24" customHeight="1">
      <c r="J2918" s="744"/>
      <c r="W2918" s="744"/>
    </row>
    <row r="2919" spans="6:23" ht="24" customHeight="1">
      <c r="G2919" s="750"/>
      <c r="H2919" s="869"/>
      <c r="W2919" s="744"/>
    </row>
    <row r="2920" spans="6:23" ht="24" customHeight="1">
      <c r="H2920" s="751" t="s">
        <v>2234</v>
      </c>
      <c r="W2920" s="744"/>
    </row>
    <row r="2921" spans="6:23" ht="24" customHeight="1">
      <c r="W2921" s="744"/>
    </row>
    <row r="2922" spans="6:23" ht="24" customHeight="1">
      <c r="F2922" s="783"/>
      <c r="H2922" s="283" t="s">
        <v>6132</v>
      </c>
      <c r="J2922" s="283"/>
      <c r="W2922" s="744"/>
    </row>
    <row r="2923" spans="6:23" ht="24" customHeight="1">
      <c r="F2923" s="746"/>
      <c r="H2923" s="283" t="s">
        <v>630</v>
      </c>
      <c r="J2923" s="283"/>
      <c r="W2923" s="744"/>
    </row>
    <row r="2924" spans="6:23" ht="24" customHeight="1">
      <c r="H2924" s="374" t="s">
        <v>1678</v>
      </c>
      <c r="J2924" s="784"/>
      <c r="P2924" s="283">
        <f>0.35*4</f>
        <v>1.4</v>
      </c>
      <c r="W2924" s="744"/>
    </row>
    <row r="2925" spans="6:23" ht="24" customHeight="1">
      <c r="H2925" s="757" t="s">
        <v>1679</v>
      </c>
      <c r="I2925" s="751"/>
      <c r="J2925" s="750"/>
      <c r="K2925" s="751"/>
      <c r="P2925" s="283">
        <f>0.3*4</f>
        <v>1.2</v>
      </c>
      <c r="W2925" s="744"/>
    </row>
    <row r="2926" spans="6:23" ht="24" customHeight="1">
      <c r="H2926" s="283" t="s">
        <v>6133</v>
      </c>
      <c r="P2926" s="283">
        <f>1.28*2</f>
        <v>2.56</v>
      </c>
      <c r="W2926" s="744"/>
    </row>
    <row r="2927" spans="6:23" ht="24" customHeight="1">
      <c r="H2927" s="751" t="s">
        <v>202</v>
      </c>
      <c r="P2927" s="283" t="s">
        <v>3093</v>
      </c>
      <c r="W2927" s="744"/>
    </row>
    <row r="2928" spans="6:23" ht="24" customHeight="1">
      <c r="F2928" s="783">
        <v>3.5999999999999997E-2</v>
      </c>
      <c r="G2928" s="283" t="s">
        <v>2151</v>
      </c>
      <c r="H2928" s="283" t="s">
        <v>1680</v>
      </c>
      <c r="I2928" s="283">
        <f>K2914</f>
        <v>7376.22</v>
      </c>
      <c r="J2928" s="283" t="s">
        <v>2151</v>
      </c>
      <c r="K2928" s="283">
        <f>F2928*I2928</f>
        <v>265.54000000000002</v>
      </c>
      <c r="W2928" s="744"/>
    </row>
    <row r="2929" spans="6:23" ht="24" customHeight="1">
      <c r="F2929" s="746">
        <v>3.0649999999999999</v>
      </c>
      <c r="G2929" s="283" t="s">
        <v>913</v>
      </c>
      <c r="H2929" s="770" t="s">
        <v>1681</v>
      </c>
      <c r="I2929" s="283">
        <f>K1583/1000</f>
        <v>90.88</v>
      </c>
      <c r="J2929" s="283" t="s">
        <v>913</v>
      </c>
      <c r="K2929" s="283">
        <f>F2929*I2929</f>
        <v>278.55</v>
      </c>
      <c r="W2929" s="744"/>
    </row>
    <row r="2930" spans="6:23" ht="24" customHeight="1">
      <c r="F2930" s="746">
        <v>0.79800000000000004</v>
      </c>
      <c r="G2930" s="283" t="s">
        <v>233</v>
      </c>
      <c r="H2930" s="283" t="s">
        <v>1429</v>
      </c>
      <c r="I2930" s="283">
        <f>I2359</f>
        <v>1135.94</v>
      </c>
      <c r="J2930" s="283" t="s">
        <v>233</v>
      </c>
      <c r="K2930" s="283">
        <f>F2930*I2930</f>
        <v>906.48</v>
      </c>
      <c r="W2930" s="744"/>
    </row>
    <row r="2931" spans="6:23" ht="24" customHeight="1">
      <c r="H2931" s="750" t="s">
        <v>1430</v>
      </c>
      <c r="I2931" s="751"/>
      <c r="J2931" s="750" t="s">
        <v>721</v>
      </c>
      <c r="K2931" s="751">
        <f>SUM(K2928:K2930)</f>
        <v>1450.57</v>
      </c>
      <c r="W2931" s="744"/>
    </row>
    <row r="2932" spans="6:23" ht="24" customHeight="1">
      <c r="F2932" s="783"/>
      <c r="H2932" s="750" t="s">
        <v>1824</v>
      </c>
      <c r="J2932" s="750" t="s">
        <v>721</v>
      </c>
      <c r="K2932" s="751">
        <f>K2931/2.1</f>
        <v>690.75</v>
      </c>
      <c r="W2932" s="744"/>
    </row>
    <row r="2933" spans="6:23" ht="24" customHeight="1">
      <c r="F2933" s="746"/>
      <c r="J2933" s="283"/>
      <c r="W2933" s="744"/>
    </row>
    <row r="2934" spans="6:23" ht="24" customHeight="1">
      <c r="H2934" s="784"/>
      <c r="J2934" s="784"/>
      <c r="W2934" s="744"/>
    </row>
    <row r="2935" spans="6:23" ht="24" customHeight="1">
      <c r="H2935" s="750"/>
      <c r="I2935" s="751"/>
      <c r="J2935" s="750"/>
      <c r="K2935" s="751"/>
      <c r="W2935" s="744"/>
    </row>
    <row r="2936" spans="6:23" ht="24" customHeight="1">
      <c r="H2936" s="751" t="s">
        <v>203</v>
      </c>
      <c r="W2936" s="744"/>
    </row>
    <row r="2937" spans="6:23" ht="24" customHeight="1">
      <c r="F2937" s="783">
        <v>3.5999999999999997E-2</v>
      </c>
      <c r="G2937" s="283" t="s">
        <v>2151</v>
      </c>
      <c r="H2937" s="283" t="s">
        <v>1680</v>
      </c>
      <c r="I2937" s="283">
        <f>K2915</f>
        <v>7612.32</v>
      </c>
      <c r="J2937" s="283" t="s">
        <v>2151</v>
      </c>
      <c r="K2937" s="283">
        <f>F2937*I2937</f>
        <v>274.04000000000002</v>
      </c>
      <c r="W2937" s="744"/>
    </row>
    <row r="2938" spans="6:23" ht="56.25" customHeight="1">
      <c r="F2938" s="746">
        <v>3.0649999999999999</v>
      </c>
      <c r="G2938" s="283" t="s">
        <v>913</v>
      </c>
      <c r="H2938" s="770" t="s">
        <v>1681</v>
      </c>
      <c r="I2938" s="283">
        <f>K1583/1000</f>
        <v>90.88</v>
      </c>
      <c r="J2938" s="283" t="s">
        <v>913</v>
      </c>
      <c r="K2938" s="283">
        <f>F2938*I2938</f>
        <v>278.55</v>
      </c>
      <c r="W2938" s="744"/>
    </row>
    <row r="2939" spans="6:23" ht="24" customHeight="1">
      <c r="F2939" s="746">
        <v>0.79800000000000004</v>
      </c>
      <c r="G2939" s="283" t="s">
        <v>233</v>
      </c>
      <c r="H2939" s="283" t="s">
        <v>1429</v>
      </c>
      <c r="I2939" s="283">
        <f>I2359</f>
        <v>1135.94</v>
      </c>
      <c r="J2939" s="283" t="s">
        <v>233</v>
      </c>
      <c r="K2939" s="283">
        <f>F2939*I2939</f>
        <v>906.48</v>
      </c>
      <c r="W2939" s="744"/>
    </row>
    <row r="2940" spans="6:23" ht="24" customHeight="1">
      <c r="H2940" s="750" t="s">
        <v>1430</v>
      </c>
      <c r="I2940" s="751"/>
      <c r="J2940" s="750" t="s">
        <v>721</v>
      </c>
      <c r="K2940" s="751">
        <f>SUM(K2937:K2939)</f>
        <v>1459.07</v>
      </c>
      <c r="W2940" s="744"/>
    </row>
    <row r="2941" spans="6:23" ht="24" customHeight="1">
      <c r="F2941" s="783"/>
      <c r="H2941" s="750" t="s">
        <v>1824</v>
      </c>
      <c r="J2941" s="750" t="s">
        <v>721</v>
      </c>
      <c r="K2941" s="751">
        <f>K2940/2.1</f>
        <v>694.8</v>
      </c>
      <c r="W2941" s="744"/>
    </row>
    <row r="2942" spans="6:23" ht="24" customHeight="1">
      <c r="F2942" s="746"/>
      <c r="J2942" s="283"/>
      <c r="W2942" s="744"/>
    </row>
    <row r="2943" spans="6:23" ht="24" customHeight="1">
      <c r="W2943" s="744"/>
    </row>
    <row r="2944" spans="6:23" ht="24" customHeight="1">
      <c r="W2944" s="744"/>
    </row>
    <row r="2945" spans="6:23" ht="24" customHeight="1">
      <c r="W2945" s="744"/>
    </row>
    <row r="2946" spans="6:23" ht="24" customHeight="1">
      <c r="H2946" s="751" t="s">
        <v>1604</v>
      </c>
      <c r="W2946" s="744"/>
    </row>
    <row r="2947" spans="6:23" ht="24" customHeight="1">
      <c r="F2947" s="783">
        <v>3.5999999999999997E-2</v>
      </c>
      <c r="G2947" s="283" t="s">
        <v>2151</v>
      </c>
      <c r="H2947" s="283" t="s">
        <v>1680</v>
      </c>
      <c r="I2947" s="283">
        <f>K2916</f>
        <v>7848.42</v>
      </c>
      <c r="J2947" s="283" t="s">
        <v>2151</v>
      </c>
      <c r="K2947" s="283">
        <f>F2947*I2947</f>
        <v>282.54000000000002</v>
      </c>
      <c r="W2947" s="744"/>
    </row>
    <row r="2948" spans="6:23" ht="24" customHeight="1">
      <c r="F2948" s="746">
        <v>3.0649999999999999</v>
      </c>
      <c r="G2948" s="283" t="s">
        <v>913</v>
      </c>
      <c r="H2948" s="770" t="s">
        <v>1681</v>
      </c>
      <c r="I2948" s="283">
        <f>I2929</f>
        <v>90.88</v>
      </c>
      <c r="J2948" s="283" t="s">
        <v>913</v>
      </c>
      <c r="K2948" s="283">
        <f>F2948*I2948</f>
        <v>278.55</v>
      </c>
      <c r="W2948" s="744"/>
    </row>
    <row r="2949" spans="6:23" ht="24" customHeight="1">
      <c r="F2949" s="746">
        <v>0.79800000000000004</v>
      </c>
      <c r="G2949" s="283" t="s">
        <v>233</v>
      </c>
      <c r="H2949" s="283" t="s">
        <v>1429</v>
      </c>
      <c r="I2949" s="283">
        <f>I2930</f>
        <v>1135.94</v>
      </c>
      <c r="J2949" s="283" t="s">
        <v>233</v>
      </c>
      <c r="K2949" s="283">
        <f>F2949*I2949</f>
        <v>906.48</v>
      </c>
      <c r="W2949" s="744"/>
    </row>
    <row r="2950" spans="6:23" ht="24" customHeight="1">
      <c r="H2950" s="750" t="s">
        <v>1430</v>
      </c>
      <c r="I2950" s="751"/>
      <c r="J2950" s="750" t="s">
        <v>721</v>
      </c>
      <c r="K2950" s="751">
        <f>SUM(K2947:K2949)</f>
        <v>1467.57</v>
      </c>
      <c r="W2950" s="744"/>
    </row>
    <row r="2951" spans="6:23" ht="24" customHeight="1">
      <c r="F2951" s="783"/>
      <c r="H2951" s="750" t="s">
        <v>1824</v>
      </c>
      <c r="J2951" s="750" t="s">
        <v>721</v>
      </c>
      <c r="K2951" s="751">
        <f>K2950/2.1</f>
        <v>698.84</v>
      </c>
      <c r="W2951" s="744"/>
    </row>
    <row r="2952" spans="6:23" ht="24" customHeight="1">
      <c r="F2952" s="746"/>
      <c r="J2952" s="283"/>
      <c r="W2952" s="744"/>
    </row>
    <row r="2953" spans="6:23" ht="24" customHeight="1">
      <c r="W2953" s="744"/>
    </row>
    <row r="2954" spans="6:23" ht="24" customHeight="1">
      <c r="W2954" s="744"/>
    </row>
    <row r="2955" spans="6:23" ht="24" customHeight="1">
      <c r="H2955" s="751" t="s">
        <v>63</v>
      </c>
      <c r="W2955" s="744"/>
    </row>
    <row r="2956" spans="6:23" ht="24" customHeight="1">
      <c r="F2956" s="783">
        <v>3.5999999999999997E-2</v>
      </c>
      <c r="G2956" s="283" t="s">
        <v>2151</v>
      </c>
      <c r="H2956" s="283" t="s">
        <v>1680</v>
      </c>
      <c r="I2956" s="283">
        <f>K2917</f>
        <v>8084.52</v>
      </c>
      <c r="J2956" s="283" t="s">
        <v>2151</v>
      </c>
      <c r="K2956" s="283">
        <f>F2956*I2956</f>
        <v>291.04000000000002</v>
      </c>
      <c r="W2956" s="744"/>
    </row>
    <row r="2957" spans="6:23" ht="24" customHeight="1">
      <c r="F2957" s="746">
        <v>3.0649999999999999</v>
      </c>
      <c r="G2957" s="283" t="s">
        <v>913</v>
      </c>
      <c r="H2957" s="770" t="s">
        <v>1681</v>
      </c>
      <c r="I2957" s="283">
        <f>I2948</f>
        <v>90.88</v>
      </c>
      <c r="J2957" s="283" t="s">
        <v>913</v>
      </c>
      <c r="K2957" s="283">
        <f>F2957*I2957</f>
        <v>278.55</v>
      </c>
      <c r="W2957" s="744"/>
    </row>
    <row r="2958" spans="6:23" ht="24" customHeight="1">
      <c r="F2958" s="746">
        <v>0.79800000000000004</v>
      </c>
      <c r="G2958" s="283" t="s">
        <v>233</v>
      </c>
      <c r="H2958" s="283" t="s">
        <v>1429</v>
      </c>
      <c r="I2958" s="283">
        <f>I2949</f>
        <v>1135.94</v>
      </c>
      <c r="J2958" s="283" t="s">
        <v>233</v>
      </c>
      <c r="K2958" s="283">
        <f>F2958*I2958</f>
        <v>906.48</v>
      </c>
      <c r="W2958" s="744"/>
    </row>
    <row r="2959" spans="6:23" ht="24" customHeight="1">
      <c r="H2959" s="750" t="s">
        <v>1430</v>
      </c>
      <c r="I2959" s="751"/>
      <c r="J2959" s="750" t="s">
        <v>721</v>
      </c>
      <c r="K2959" s="751">
        <f>SUM(K2956:K2958)</f>
        <v>1476.07</v>
      </c>
      <c r="W2959" s="744"/>
    </row>
    <row r="2960" spans="6:23" ht="24" customHeight="1">
      <c r="F2960" s="783"/>
      <c r="H2960" s="750" t="s">
        <v>1824</v>
      </c>
      <c r="J2960" s="750" t="s">
        <v>721</v>
      </c>
      <c r="K2960" s="751">
        <f>K2959/2.1</f>
        <v>702.89</v>
      </c>
      <c r="W2960" s="744"/>
    </row>
    <row r="2961" spans="6:23" ht="24" customHeight="1">
      <c r="F2961" s="746"/>
      <c r="J2961" s="283"/>
      <c r="W2961" s="744"/>
    </row>
    <row r="2962" spans="6:23" ht="24" customHeight="1">
      <c r="J2962" s="744"/>
      <c r="W2962" s="744"/>
    </row>
    <row r="2963" spans="6:23" ht="24" customHeight="1">
      <c r="J2963" s="744"/>
      <c r="W2963" s="744"/>
    </row>
    <row r="2964" spans="6:23" ht="24" customHeight="1">
      <c r="I2964" s="283">
        <f>160*10.76</f>
        <v>1721.6</v>
      </c>
      <c r="J2964" s="744"/>
      <c r="W2964" s="744"/>
    </row>
    <row r="2965" spans="6:23" ht="24" customHeight="1">
      <c r="F2965" s="744" t="s">
        <v>564</v>
      </c>
      <c r="G2965" s="283" t="s">
        <v>2251</v>
      </c>
      <c r="H2965" s="374" t="s">
        <v>1768</v>
      </c>
      <c r="I2965" s="283">
        <f>148*10.76</f>
        <v>1592.48</v>
      </c>
      <c r="J2965" s="744"/>
      <c r="W2965" s="744"/>
    </row>
    <row r="2966" spans="6:23" ht="24" customHeight="1">
      <c r="H2966" s="374" t="s">
        <v>256</v>
      </c>
      <c r="J2966" s="744"/>
      <c r="W2966" s="744"/>
    </row>
    <row r="2967" spans="6:23" ht="24" customHeight="1">
      <c r="H2967" s="374" t="s">
        <v>1471</v>
      </c>
      <c r="J2967" s="744"/>
      <c r="W2967" s="744"/>
    </row>
    <row r="2968" spans="6:23" ht="24" customHeight="1">
      <c r="H2968" s="748" t="s">
        <v>1586</v>
      </c>
      <c r="I2968" s="783">
        <f>1.4*2.025</f>
        <v>2.835</v>
      </c>
      <c r="J2968" s="744"/>
      <c r="W2968" s="744"/>
    </row>
    <row r="2969" spans="6:23" ht="24" customHeight="1">
      <c r="H2969" s="374" t="s">
        <v>1924</v>
      </c>
      <c r="J2969" s="744"/>
      <c r="W2969" s="744"/>
    </row>
    <row r="2970" spans="6:23" ht="24" customHeight="1">
      <c r="J2970" s="744"/>
      <c r="W2970" s="744"/>
    </row>
    <row r="2971" spans="6:23" ht="24" customHeight="1">
      <c r="F2971" s="746">
        <v>1.64</v>
      </c>
      <c r="G2971" s="283" t="s">
        <v>609</v>
      </c>
      <c r="H2971" s="777" t="s">
        <v>741</v>
      </c>
      <c r="I2971" s="283">
        <f>I2835</f>
        <v>2180</v>
      </c>
      <c r="J2971" s="744" t="s">
        <v>609</v>
      </c>
      <c r="K2971" s="283">
        <f>F2972*I2971</f>
        <v>3575.2</v>
      </c>
      <c r="W2971" s="744"/>
    </row>
    <row r="2972" spans="6:23" ht="44.25" customHeight="1">
      <c r="F2972" s="746">
        <v>1.64</v>
      </c>
      <c r="G2972" s="283" t="s">
        <v>609</v>
      </c>
      <c r="H2972" s="374" t="s">
        <v>447</v>
      </c>
      <c r="I2972" s="283">
        <f t="shared" ref="I2972:I2978" si="283">I2836</f>
        <v>0</v>
      </c>
      <c r="J2972" s="744" t="s">
        <v>609</v>
      </c>
      <c r="K2972" s="283">
        <f t="shared" ref="K2972:K2978" si="284">(F2972*I2972)</f>
        <v>0</v>
      </c>
      <c r="O2972" s="374" t="s">
        <v>1768</v>
      </c>
      <c r="W2972" s="744"/>
    </row>
    <row r="2973" spans="6:23" ht="24" customHeight="1">
      <c r="F2973" s="283">
        <v>2</v>
      </c>
      <c r="G2973" s="283" t="s">
        <v>769</v>
      </c>
      <c r="H2973" s="374" t="s">
        <v>1463</v>
      </c>
      <c r="I2973" s="283">
        <f t="shared" si="283"/>
        <v>57.65</v>
      </c>
      <c r="J2973" s="744" t="s">
        <v>868</v>
      </c>
      <c r="K2973" s="283">
        <f t="shared" si="284"/>
        <v>115.3</v>
      </c>
      <c r="O2973" s="374" t="s">
        <v>256</v>
      </c>
      <c r="W2973" s="744"/>
    </row>
    <row r="2974" spans="6:23" ht="24" customHeight="1">
      <c r="F2974" s="283">
        <v>3</v>
      </c>
      <c r="G2974" s="283" t="s">
        <v>868</v>
      </c>
      <c r="H2974" s="374" t="s">
        <v>1464</v>
      </c>
      <c r="I2974" s="283">
        <f t="shared" si="283"/>
        <v>89.6</v>
      </c>
      <c r="J2974" s="744" t="s">
        <v>868</v>
      </c>
      <c r="K2974" s="283">
        <f t="shared" si="284"/>
        <v>268.8</v>
      </c>
      <c r="O2974" s="374" t="s">
        <v>1927</v>
      </c>
      <c r="W2974" s="744"/>
    </row>
    <row r="2975" spans="6:23" ht="24" customHeight="1">
      <c r="F2975" s="283">
        <v>2</v>
      </c>
      <c r="G2975" s="283" t="s">
        <v>868</v>
      </c>
      <c r="H2975" s="374" t="s">
        <v>1465</v>
      </c>
      <c r="I2975" s="283">
        <f t="shared" si="283"/>
        <v>64.8</v>
      </c>
      <c r="J2975" s="744" t="s">
        <v>868</v>
      </c>
      <c r="K2975" s="283">
        <f t="shared" si="284"/>
        <v>129.6</v>
      </c>
      <c r="O2975" s="748" t="s">
        <v>1586</v>
      </c>
      <c r="W2975" s="744"/>
    </row>
    <row r="2976" spans="6:23" ht="24" customHeight="1">
      <c r="F2976" s="283">
        <v>1</v>
      </c>
      <c r="G2976" s="283" t="s">
        <v>868</v>
      </c>
      <c r="H2976" s="374" t="s">
        <v>1466</v>
      </c>
      <c r="I2976" s="283">
        <f t="shared" si="283"/>
        <v>181</v>
      </c>
      <c r="J2976" s="744" t="s">
        <v>868</v>
      </c>
      <c r="K2976" s="283">
        <f t="shared" si="284"/>
        <v>181</v>
      </c>
      <c r="L2976" s="283" t="s">
        <v>975</v>
      </c>
      <c r="O2976" s="374" t="s">
        <v>1928</v>
      </c>
      <c r="W2976" s="744"/>
    </row>
    <row r="2977" spans="6:23" ht="24" customHeight="1">
      <c r="F2977" s="283">
        <v>1</v>
      </c>
      <c r="G2977" s="283" t="s">
        <v>868</v>
      </c>
      <c r="H2977" s="374" t="s">
        <v>1467</v>
      </c>
      <c r="I2977" s="283">
        <f t="shared" si="283"/>
        <v>7.3</v>
      </c>
      <c r="J2977" s="744" t="s">
        <v>868</v>
      </c>
      <c r="K2977" s="283">
        <f t="shared" si="284"/>
        <v>7.3</v>
      </c>
      <c r="W2977" s="744"/>
    </row>
    <row r="2978" spans="6:23" ht="24" customHeight="1">
      <c r="F2978" s="283">
        <v>1</v>
      </c>
      <c r="G2978" s="283" t="s">
        <v>868</v>
      </c>
      <c r="H2978" s="374" t="s">
        <v>1982</v>
      </c>
      <c r="I2978" s="283">
        <f t="shared" si="283"/>
        <v>49.55</v>
      </c>
      <c r="J2978" s="744" t="s">
        <v>868</v>
      </c>
      <c r="K2978" s="283">
        <f t="shared" si="284"/>
        <v>49.55</v>
      </c>
      <c r="M2978" s="746">
        <v>2.2549999999999999</v>
      </c>
      <c r="N2978" s="283" t="s">
        <v>609</v>
      </c>
      <c r="O2978" s="777" t="s">
        <v>741</v>
      </c>
      <c r="P2978" s="283">
        <f>I2971</f>
        <v>2180</v>
      </c>
      <c r="Q2978" s="744" t="s">
        <v>609</v>
      </c>
      <c r="R2978" s="283">
        <f>M2979*P2978</f>
        <v>4915.8999999999996</v>
      </c>
      <c r="W2978" s="744"/>
    </row>
    <row r="2979" spans="6:23" ht="39.75" customHeight="1">
      <c r="J2979" s="744"/>
      <c r="K2979" s="784">
        <v>0.63</v>
      </c>
      <c r="M2979" s="746">
        <v>2.2549999999999999</v>
      </c>
      <c r="N2979" s="283" t="s">
        <v>609</v>
      </c>
      <c r="O2979" s="374" t="s">
        <v>447</v>
      </c>
      <c r="P2979" s="283">
        <f t="shared" ref="P2979:P2985" si="285">I2972</f>
        <v>0</v>
      </c>
      <c r="Q2979" s="744" t="s">
        <v>609</v>
      </c>
      <c r="R2979" s="283">
        <f t="shared" ref="R2979:R2985" si="286">(M2979*P2979)</f>
        <v>0</v>
      </c>
      <c r="W2979" s="744"/>
    </row>
    <row r="2980" spans="6:23" ht="24" customHeight="1">
      <c r="H2980" s="374" t="s">
        <v>1925</v>
      </c>
      <c r="J2980" s="744"/>
      <c r="K2980" s="283">
        <f>SUM(K2971:K2979)</f>
        <v>4327.38</v>
      </c>
      <c r="M2980" s="283">
        <v>2</v>
      </c>
      <c r="N2980" s="283" t="s">
        <v>769</v>
      </c>
      <c r="O2980" s="374" t="s">
        <v>1463</v>
      </c>
      <c r="P2980" s="283">
        <f t="shared" si="285"/>
        <v>57.65</v>
      </c>
      <c r="Q2980" s="744" t="s">
        <v>868</v>
      </c>
      <c r="R2980" s="283">
        <f t="shared" si="286"/>
        <v>115.3</v>
      </c>
      <c r="W2980" s="744"/>
    </row>
    <row r="2981" spans="6:23" ht="24" customHeight="1">
      <c r="J2981" s="744"/>
      <c r="K2981" s="748" t="s">
        <v>1586</v>
      </c>
      <c r="M2981" s="283">
        <v>3</v>
      </c>
      <c r="N2981" s="283" t="s">
        <v>868</v>
      </c>
      <c r="O2981" s="374" t="s">
        <v>1464</v>
      </c>
      <c r="P2981" s="283">
        <f t="shared" si="285"/>
        <v>89.6</v>
      </c>
      <c r="Q2981" s="744" t="s">
        <v>868</v>
      </c>
      <c r="R2981" s="283">
        <f t="shared" si="286"/>
        <v>268.8</v>
      </c>
      <c r="W2981" s="744"/>
    </row>
    <row r="2982" spans="6:23" ht="24" customHeight="1">
      <c r="H2982" s="374" t="s">
        <v>552</v>
      </c>
      <c r="J2982" s="744"/>
      <c r="K2982" s="283">
        <f>K2980/F2972</f>
        <v>2638.65</v>
      </c>
      <c r="M2982" s="283">
        <v>2</v>
      </c>
      <c r="N2982" s="283" t="s">
        <v>868</v>
      </c>
      <c r="O2982" s="374" t="s">
        <v>1465</v>
      </c>
      <c r="P2982" s="283">
        <f t="shared" si="285"/>
        <v>64.8</v>
      </c>
      <c r="Q2982" s="744" t="s">
        <v>868</v>
      </c>
      <c r="R2982" s="283">
        <f t="shared" si="286"/>
        <v>129.6</v>
      </c>
      <c r="W2982" s="744"/>
    </row>
    <row r="2983" spans="6:23" ht="24" customHeight="1">
      <c r="F2983" s="374" t="s">
        <v>975</v>
      </c>
      <c r="J2983" s="744"/>
      <c r="M2983" s="283">
        <v>1</v>
      </c>
      <c r="N2983" s="283" t="s">
        <v>868</v>
      </c>
      <c r="O2983" s="374" t="s">
        <v>1466</v>
      </c>
      <c r="P2983" s="283">
        <f t="shared" si="285"/>
        <v>181</v>
      </c>
      <c r="Q2983" s="744" t="s">
        <v>868</v>
      </c>
      <c r="R2983" s="283">
        <f t="shared" si="286"/>
        <v>181</v>
      </c>
      <c r="W2983" s="744"/>
    </row>
    <row r="2984" spans="6:23" ht="24" customHeight="1">
      <c r="J2984" s="744"/>
      <c r="M2984" s="283">
        <v>1</v>
      </c>
      <c r="N2984" s="283" t="s">
        <v>868</v>
      </c>
      <c r="O2984" s="374" t="s">
        <v>1467</v>
      </c>
      <c r="P2984" s="283">
        <f t="shared" si="285"/>
        <v>7.3</v>
      </c>
      <c r="Q2984" s="744" t="s">
        <v>868</v>
      </c>
      <c r="R2984" s="283">
        <f t="shared" si="286"/>
        <v>7.3</v>
      </c>
      <c r="W2984" s="744"/>
    </row>
    <row r="2985" spans="6:23" ht="24" customHeight="1">
      <c r="F2985" s="283" t="s">
        <v>1427</v>
      </c>
      <c r="J2985" s="744"/>
      <c r="M2985" s="283">
        <v>1</v>
      </c>
      <c r="N2985" s="283" t="s">
        <v>868</v>
      </c>
      <c r="O2985" s="374" t="s">
        <v>1982</v>
      </c>
      <c r="P2985" s="283">
        <f t="shared" si="285"/>
        <v>49.55</v>
      </c>
      <c r="Q2985" s="744" t="s">
        <v>868</v>
      </c>
      <c r="R2985" s="283">
        <f t="shared" si="286"/>
        <v>49.55</v>
      </c>
      <c r="W2985" s="744"/>
    </row>
    <row r="2986" spans="6:23" ht="24" customHeight="1">
      <c r="J2986" s="744"/>
      <c r="Q2986" s="744"/>
      <c r="R2986" s="748" t="s">
        <v>1586</v>
      </c>
      <c r="W2986" s="744"/>
    </row>
    <row r="2987" spans="6:23" ht="24" customHeight="1">
      <c r="F2987" s="283" t="s">
        <v>1428</v>
      </c>
      <c r="J2987" s="744"/>
      <c r="O2987" s="374" t="s">
        <v>1929</v>
      </c>
      <c r="Q2987" s="744"/>
      <c r="R2987" s="283">
        <f>SUM(R2978:R2985)+0.17</f>
        <v>5667.62</v>
      </c>
      <c r="W2987" s="744"/>
    </row>
    <row r="2988" spans="6:23" ht="24" customHeight="1">
      <c r="J2988" s="744"/>
      <c r="Q2988" s="744"/>
      <c r="R2988" s="748" t="s">
        <v>1586</v>
      </c>
      <c r="W2988" s="744"/>
    </row>
    <row r="2989" spans="6:23" ht="24" customHeight="1">
      <c r="G2989" s="783">
        <v>0.99350000000000005</v>
      </c>
      <c r="H2989" s="283" t="s">
        <v>2151</v>
      </c>
      <c r="J2989" s="744"/>
      <c r="O2989" s="374" t="s">
        <v>552</v>
      </c>
      <c r="Q2989" s="744"/>
      <c r="R2989" s="283">
        <f>R2987/M2979</f>
        <v>2513.36</v>
      </c>
      <c r="W2989" s="744"/>
    </row>
    <row r="2990" spans="6:23" ht="24" customHeight="1">
      <c r="J2990" s="744"/>
      <c r="W2990" s="744"/>
    </row>
    <row r="2991" spans="6:23" ht="24" customHeight="1">
      <c r="F2991" s="751" t="s">
        <v>463</v>
      </c>
      <c r="J2991" s="744"/>
      <c r="W2991" s="744"/>
    </row>
    <row r="2992" spans="6:23" ht="24" customHeight="1">
      <c r="J2992" s="744"/>
      <c r="W2992" s="744"/>
    </row>
    <row r="2993" spans="6:23" ht="24" customHeight="1">
      <c r="F2993" s="783">
        <v>0.42</v>
      </c>
      <c r="G2993" s="283" t="s">
        <v>2151</v>
      </c>
      <c r="H2993" s="283" t="s">
        <v>464</v>
      </c>
      <c r="I2993" s="283">
        <f>K818</f>
        <v>8550.68</v>
      </c>
      <c r="J2993" s="784" t="s">
        <v>2151</v>
      </c>
      <c r="K2993" s="283">
        <f>F2993*I2993</f>
        <v>3591.29</v>
      </c>
      <c r="W2993" s="744"/>
    </row>
    <row r="2994" spans="6:23" ht="24" customHeight="1">
      <c r="F2994" s="283">
        <v>0.25</v>
      </c>
      <c r="G2994" s="283" t="s">
        <v>1394</v>
      </c>
      <c r="H2994" s="283" t="s">
        <v>465</v>
      </c>
      <c r="I2994" s="283">
        <f>C11</f>
        <v>932</v>
      </c>
      <c r="J2994" s="784" t="s">
        <v>1398</v>
      </c>
      <c r="K2994" s="283">
        <f>F2994*I2994</f>
        <v>233</v>
      </c>
      <c r="W2994" s="744"/>
    </row>
    <row r="2995" spans="6:23" ht="24" customHeight="1">
      <c r="F2995" s="283">
        <v>3.5</v>
      </c>
      <c r="G2995" s="283" t="s">
        <v>1432</v>
      </c>
      <c r="H2995" s="283" t="s">
        <v>348</v>
      </c>
      <c r="I2995" s="283">
        <f>C12</f>
        <v>651</v>
      </c>
      <c r="J2995" s="784" t="s">
        <v>1398</v>
      </c>
      <c r="K2995" s="283">
        <f>F2995*I2995</f>
        <v>2278.5</v>
      </c>
      <c r="W2995" s="744"/>
    </row>
    <row r="2996" spans="6:23" ht="24" customHeight="1">
      <c r="F2996" s="283">
        <v>32.1</v>
      </c>
      <c r="G2996" s="283" t="s">
        <v>1645</v>
      </c>
      <c r="H2996" s="283" t="s">
        <v>1593</v>
      </c>
      <c r="J2996" s="784"/>
      <c r="K2996" s="283">
        <f>(F2996*I2996)/1000</f>
        <v>0</v>
      </c>
      <c r="W2996" s="744"/>
    </row>
    <row r="2997" spans="6:23" ht="24" customHeight="1">
      <c r="G2997" s="283" t="s">
        <v>466</v>
      </c>
      <c r="H2997" s="283" t="s">
        <v>950</v>
      </c>
      <c r="J2997" s="784" t="s">
        <v>67</v>
      </c>
      <c r="K2997" s="283">
        <f>(K2994+K2995)*10%</f>
        <v>251.15</v>
      </c>
      <c r="W2997" s="744"/>
    </row>
    <row r="2998" spans="6:23" ht="24" customHeight="1">
      <c r="J2998" s="744"/>
      <c r="K2998" s="283" t="s">
        <v>951</v>
      </c>
      <c r="W2998" s="744"/>
    </row>
    <row r="2999" spans="6:23" ht="24" customHeight="1">
      <c r="J2999" s="744"/>
      <c r="W2999" s="744"/>
    </row>
    <row r="3000" spans="6:23" ht="24" customHeight="1">
      <c r="I3000" s="283" t="s">
        <v>1047</v>
      </c>
      <c r="J3000" s="744"/>
      <c r="K3000" s="283">
        <f>SUM(K2993:K2997)</f>
        <v>6353.94</v>
      </c>
      <c r="W3000" s="744"/>
    </row>
    <row r="3001" spans="6:23" ht="24" customHeight="1">
      <c r="J3001" s="744"/>
      <c r="W3001" s="744"/>
    </row>
    <row r="3002" spans="6:23" ht="24" customHeight="1">
      <c r="I3002" s="283" t="s">
        <v>1881</v>
      </c>
      <c r="J3002" s="744"/>
      <c r="K3002" s="283">
        <f>K3000/3.5</f>
        <v>1815.41</v>
      </c>
      <c r="W3002" s="744"/>
    </row>
    <row r="3003" spans="6:23" ht="24" customHeight="1">
      <c r="G3003" s="751" t="s">
        <v>1048</v>
      </c>
      <c r="J3003" s="744"/>
      <c r="W3003" s="744"/>
    </row>
    <row r="3004" spans="6:23" ht="24" customHeight="1">
      <c r="J3004" s="744"/>
      <c r="W3004" s="744"/>
    </row>
    <row r="3005" spans="6:23" ht="24" customHeight="1">
      <c r="F3005" s="283">
        <v>1</v>
      </c>
      <c r="G3005" s="283" t="s">
        <v>2151</v>
      </c>
      <c r="H3005" s="283" t="s">
        <v>208</v>
      </c>
      <c r="I3005" s="283">
        <f>AC38</f>
        <v>257.64999999999998</v>
      </c>
      <c r="J3005" s="784" t="s">
        <v>2151</v>
      </c>
      <c r="K3005" s="283">
        <f>F3005*I3005</f>
        <v>257.64999999999998</v>
      </c>
      <c r="W3005" s="744"/>
    </row>
    <row r="3006" spans="6:23" ht="42" customHeight="1">
      <c r="F3006" s="283">
        <v>1</v>
      </c>
      <c r="G3006" s="283" t="s">
        <v>2151</v>
      </c>
      <c r="H3006" s="283" t="s">
        <v>1049</v>
      </c>
      <c r="I3006" s="283">
        <f>AE28</f>
        <v>38.950000000000003</v>
      </c>
      <c r="J3006" s="784" t="s">
        <v>2151</v>
      </c>
      <c r="K3006" s="283">
        <f>F3006*I3006</f>
        <v>38.950000000000003</v>
      </c>
      <c r="W3006" s="744"/>
    </row>
    <row r="3007" spans="6:23" ht="24" customHeight="1">
      <c r="J3007" s="744"/>
      <c r="K3007" s="751">
        <f>SUM(K3005:K3006)</f>
        <v>296.60000000000002</v>
      </c>
      <c r="W3007" s="744"/>
    </row>
    <row r="3008" spans="6:23" ht="24" customHeight="1">
      <c r="W3008" s="744"/>
    </row>
    <row r="3009" spans="8:23" ht="24" customHeight="1">
      <c r="H3009" s="283" t="s">
        <v>1908</v>
      </c>
      <c r="I3009" s="786"/>
      <c r="J3009" s="744"/>
      <c r="W3009" s="744"/>
    </row>
    <row r="3010" spans="8:23" ht="24" customHeight="1">
      <c r="H3010" s="786" t="s">
        <v>5884</v>
      </c>
      <c r="I3010" s="283">
        <v>1020</v>
      </c>
      <c r="J3010" s="744" t="s">
        <v>1714</v>
      </c>
      <c r="K3010" s="283">
        <f>I3010</f>
        <v>1020</v>
      </c>
      <c r="W3010" s="744"/>
    </row>
    <row r="3011" spans="8:23" ht="32.25" customHeight="1">
      <c r="J3011" s="744"/>
      <c r="W3011" s="744"/>
    </row>
    <row r="3012" spans="8:23" ht="24" customHeight="1">
      <c r="J3012" s="744"/>
      <c r="W3012" s="744"/>
    </row>
    <row r="3013" spans="8:23" ht="24" customHeight="1">
      <c r="H3013" s="283" t="s">
        <v>5885</v>
      </c>
      <c r="I3013" s="283">
        <v>494.7</v>
      </c>
      <c r="J3013" s="744" t="s">
        <v>1714</v>
      </c>
      <c r="K3013" s="283">
        <f>I3013</f>
        <v>494.7</v>
      </c>
      <c r="W3013" s="744"/>
    </row>
    <row r="3014" spans="8:23" ht="24" customHeight="1">
      <c r="J3014" s="744"/>
      <c r="W3014" s="744"/>
    </row>
    <row r="3015" spans="8:23" ht="24" customHeight="1">
      <c r="H3015" s="283" t="s">
        <v>5886</v>
      </c>
      <c r="I3015" s="283">
        <v>398.3</v>
      </c>
      <c r="J3015" s="744" t="s">
        <v>1714</v>
      </c>
      <c r="K3015" s="283">
        <f>I3015</f>
        <v>398.3</v>
      </c>
      <c r="W3015" s="744"/>
    </row>
    <row r="3016" spans="8:23" ht="24" customHeight="1">
      <c r="J3016" s="744"/>
      <c r="W3016" s="744"/>
    </row>
    <row r="3017" spans="8:23" ht="24" customHeight="1">
      <c r="H3017" s="283" t="s">
        <v>1291</v>
      </c>
      <c r="J3017" s="744"/>
      <c r="W3017" s="744"/>
    </row>
    <row r="3018" spans="8:23" ht="24" customHeight="1">
      <c r="H3018" s="283" t="s">
        <v>5887</v>
      </c>
      <c r="I3018" s="283">
        <v>995</v>
      </c>
      <c r="J3018" s="744" t="s">
        <v>1714</v>
      </c>
      <c r="K3018" s="283">
        <f>I3018</f>
        <v>995</v>
      </c>
      <c r="W3018" s="744"/>
    </row>
    <row r="3019" spans="8:23" ht="24" customHeight="1">
      <c r="H3019" s="374" t="s">
        <v>1067</v>
      </c>
      <c r="I3019" s="283">
        <f>K2292</f>
        <v>2176.4</v>
      </c>
      <c r="J3019" s="744"/>
      <c r="K3019" s="283">
        <f>I3019</f>
        <v>2176.4</v>
      </c>
      <c r="W3019" s="744"/>
    </row>
    <row r="3020" spans="8:23" ht="24" customHeight="1">
      <c r="J3020" s="744"/>
      <c r="W3020" s="744"/>
    </row>
    <row r="3021" spans="8:23" ht="24" customHeight="1">
      <c r="J3021" s="744"/>
      <c r="W3021" s="744"/>
    </row>
    <row r="3022" spans="8:23" ht="44.25" customHeight="1">
      <c r="J3022" s="744"/>
      <c r="W3022" s="744"/>
    </row>
    <row r="3023" spans="8:23" ht="68.25" customHeight="1">
      <c r="J3023" s="744"/>
      <c r="W3023" s="744"/>
    </row>
    <row r="3024" spans="8:23" ht="24" customHeight="1">
      <c r="J3024" s="744"/>
      <c r="W3024" s="744"/>
    </row>
    <row r="3025" spans="8:23" ht="24" customHeight="1">
      <c r="J3025" s="744"/>
      <c r="W3025" s="744"/>
    </row>
    <row r="3026" spans="8:23" ht="24" customHeight="1">
      <c r="H3026" s="784"/>
      <c r="J3026" s="744"/>
      <c r="W3026" s="744"/>
    </row>
    <row r="3027" spans="8:23" ht="24" customHeight="1">
      <c r="J3027" s="744"/>
      <c r="W3027" s="744"/>
    </row>
    <row r="3028" spans="8:23" ht="24" customHeight="1">
      <c r="H3028" s="750"/>
      <c r="I3028" s="751"/>
      <c r="J3028" s="757"/>
      <c r="K3028" s="751"/>
      <c r="W3028" s="744"/>
    </row>
    <row r="3029" spans="8:23" ht="24" customHeight="1">
      <c r="W3029" s="744"/>
    </row>
    <row r="3030" spans="8:23" ht="24" customHeight="1">
      <c r="W3030" s="744"/>
    </row>
    <row r="3031" spans="8:23" ht="24" customHeight="1">
      <c r="H3031" s="283" t="s">
        <v>1010</v>
      </c>
      <c r="W3031" s="744"/>
    </row>
    <row r="3032" spans="8:23" ht="24" customHeight="1">
      <c r="H3032" s="283" t="s">
        <v>1011</v>
      </c>
      <c r="J3032" s="374" t="s">
        <v>1398</v>
      </c>
      <c r="K3032" s="283">
        <v>130</v>
      </c>
      <c r="W3032" s="744"/>
    </row>
    <row r="3033" spans="8:23" ht="24" customHeight="1">
      <c r="W3033" s="744"/>
    </row>
    <row r="3034" spans="8:23" ht="24" customHeight="1">
      <c r="H3034" s="283" t="s">
        <v>1012</v>
      </c>
      <c r="J3034" s="374" t="s">
        <v>1398</v>
      </c>
      <c r="K3034" s="283">
        <v>170</v>
      </c>
      <c r="W3034" s="744"/>
    </row>
    <row r="3035" spans="8:23" ht="24" customHeight="1">
      <c r="W3035" s="744"/>
    </row>
    <row r="3036" spans="8:23" ht="24" customHeight="1">
      <c r="W3036" s="744"/>
    </row>
    <row r="3037" spans="8:23" ht="24" customHeight="1">
      <c r="H3037" s="374" t="s">
        <v>1258</v>
      </c>
      <c r="J3037" s="374" t="s">
        <v>1398</v>
      </c>
      <c r="K3037" s="283">
        <v>443</v>
      </c>
      <c r="W3037" s="744"/>
    </row>
    <row r="3038" spans="8:23" ht="24" customHeight="1">
      <c r="W3038" s="744"/>
    </row>
    <row r="3039" spans="8:23" ht="24" customHeight="1">
      <c r="H3039" s="777" t="s">
        <v>200</v>
      </c>
      <c r="J3039" s="374" t="s">
        <v>1398</v>
      </c>
      <c r="K3039" s="283">
        <f>Elec.Data!K936</f>
        <v>1739.7</v>
      </c>
      <c r="W3039" s="744"/>
    </row>
    <row r="3040" spans="8:23" ht="45" customHeight="1">
      <c r="W3040" s="744"/>
    </row>
    <row r="3041" spans="6:23" ht="24" customHeight="1">
      <c r="W3041" s="744"/>
    </row>
    <row r="3042" spans="6:23" ht="41.25" customHeight="1">
      <c r="H3042" s="283" t="s">
        <v>1291</v>
      </c>
      <c r="J3042" s="374" t="s">
        <v>1398</v>
      </c>
      <c r="K3042" s="283">
        <f>K3018</f>
        <v>995</v>
      </c>
      <c r="W3042" s="744"/>
    </row>
    <row r="3043" spans="6:23" ht="24" customHeight="1">
      <c r="H3043" s="283" t="s">
        <v>1292</v>
      </c>
      <c r="W3043" s="744"/>
    </row>
    <row r="3044" spans="6:23" ht="24" customHeight="1">
      <c r="W3044" s="744"/>
    </row>
    <row r="3045" spans="6:23" ht="24" customHeight="1">
      <c r="F3045" s="283">
        <v>0.5</v>
      </c>
      <c r="H3045" s="283" t="s">
        <v>1868</v>
      </c>
      <c r="J3045" s="374">
        <f>C15</f>
        <v>866</v>
      </c>
      <c r="K3045" s="283">
        <f>J3045*F3045</f>
        <v>433</v>
      </c>
      <c r="W3045" s="744"/>
    </row>
    <row r="3046" spans="6:23" ht="24" customHeight="1">
      <c r="F3046" s="283">
        <v>0.5</v>
      </c>
      <c r="H3046" s="283" t="s">
        <v>348</v>
      </c>
      <c r="J3046" s="374">
        <f>C12</f>
        <v>651</v>
      </c>
      <c r="K3046" s="283">
        <f>J3046*F3046</f>
        <v>325.5</v>
      </c>
      <c r="W3046" s="744"/>
    </row>
    <row r="3047" spans="6:23" ht="24" customHeight="1">
      <c r="I3047" s="1004" t="s">
        <v>1062</v>
      </c>
      <c r="J3047" s="1004"/>
      <c r="K3047" s="751">
        <f>SUM(K3042:K3046)</f>
        <v>1753.5</v>
      </c>
      <c r="W3047" s="744"/>
    </row>
    <row r="3048" spans="6:23" ht="24" customHeight="1">
      <c r="W3048" s="744"/>
    </row>
    <row r="3049" spans="6:23" ht="24" customHeight="1">
      <c r="W3049" s="744"/>
    </row>
    <row r="3050" spans="6:23" ht="24" customHeight="1">
      <c r="F3050" s="744" t="s">
        <v>564</v>
      </c>
      <c r="G3050" s="283" t="s">
        <v>2251</v>
      </c>
      <c r="H3050" s="374" t="s">
        <v>1768</v>
      </c>
      <c r="J3050" s="744"/>
      <c r="W3050" s="744"/>
    </row>
    <row r="3051" spans="6:23" ht="24" customHeight="1">
      <c r="H3051" s="374" t="s">
        <v>256</v>
      </c>
      <c r="J3051" s="744"/>
      <c r="W3051" s="744"/>
    </row>
    <row r="3052" spans="6:23" ht="24" customHeight="1">
      <c r="H3052" s="374" t="s">
        <v>1413</v>
      </c>
      <c r="J3052" s="744"/>
      <c r="W3052" s="744"/>
    </row>
    <row r="3053" spans="6:23" ht="24" customHeight="1">
      <c r="H3053" s="748" t="s">
        <v>1586</v>
      </c>
      <c r="J3053" s="744"/>
      <c r="W3053" s="744"/>
    </row>
    <row r="3054" spans="6:23" ht="24" customHeight="1">
      <c r="H3054" s="374" t="s">
        <v>757</v>
      </c>
      <c r="J3054" s="744"/>
      <c r="W3054" s="744"/>
    </row>
    <row r="3055" spans="6:23" ht="24" customHeight="1">
      <c r="J3055" s="744"/>
      <c r="W3055" s="744"/>
    </row>
    <row r="3056" spans="6:23" ht="24" customHeight="1">
      <c r="F3056" s="783">
        <v>2.2275</v>
      </c>
      <c r="G3056" s="283" t="s">
        <v>609</v>
      </c>
      <c r="H3056" s="777" t="s">
        <v>741</v>
      </c>
      <c r="I3056" s="283">
        <f>I2835</f>
        <v>2180</v>
      </c>
      <c r="J3056" s="744" t="s">
        <v>609</v>
      </c>
      <c r="K3056" s="283">
        <f>F3057*I3056</f>
        <v>4855.95</v>
      </c>
      <c r="W3056" s="744"/>
    </row>
    <row r="3057" spans="6:23" ht="38.25" customHeight="1">
      <c r="F3057" s="783">
        <f>F3056</f>
        <v>2.2275</v>
      </c>
      <c r="G3057" s="283" t="s">
        <v>609</v>
      </c>
      <c r="H3057" s="374" t="s">
        <v>447</v>
      </c>
      <c r="I3057" s="784">
        <f>I2868</f>
        <v>0</v>
      </c>
      <c r="J3057" s="744" t="s">
        <v>609</v>
      </c>
      <c r="K3057" s="283">
        <f t="shared" ref="K3057:K3063" si="287">(F3057*I3057)</f>
        <v>0</v>
      </c>
      <c r="M3057" s="744" t="s">
        <v>564</v>
      </c>
      <c r="N3057" s="283" t="s">
        <v>2251</v>
      </c>
      <c r="O3057" s="374" t="s">
        <v>1768</v>
      </c>
      <c r="Q3057" s="744"/>
      <c r="W3057" s="744"/>
    </row>
    <row r="3058" spans="6:23" ht="24" customHeight="1">
      <c r="F3058" s="283">
        <v>4</v>
      </c>
      <c r="G3058" s="283" t="s">
        <v>769</v>
      </c>
      <c r="H3058" s="374" t="s">
        <v>1463</v>
      </c>
      <c r="I3058" s="283">
        <f t="shared" ref="I3058:I3063" si="288">I2973</f>
        <v>57.65</v>
      </c>
      <c r="J3058" s="744" t="s">
        <v>868</v>
      </c>
      <c r="K3058" s="283">
        <f t="shared" si="287"/>
        <v>230.6</v>
      </c>
      <c r="O3058" s="374" t="s">
        <v>256</v>
      </c>
      <c r="Q3058" s="744"/>
      <c r="W3058" s="744"/>
    </row>
    <row r="3059" spans="6:23" ht="24" customHeight="1">
      <c r="F3059" s="283">
        <v>6</v>
      </c>
      <c r="G3059" s="283" t="s">
        <v>868</v>
      </c>
      <c r="H3059" s="374" t="s">
        <v>1464</v>
      </c>
      <c r="I3059" s="283">
        <f t="shared" si="288"/>
        <v>89.6</v>
      </c>
      <c r="J3059" s="744" t="s">
        <v>868</v>
      </c>
      <c r="K3059" s="283">
        <f t="shared" si="287"/>
        <v>537.6</v>
      </c>
      <c r="O3059" s="374" t="s">
        <v>82</v>
      </c>
      <c r="Q3059" s="744"/>
      <c r="W3059" s="744"/>
    </row>
    <row r="3060" spans="6:23" ht="24" customHeight="1">
      <c r="F3060" s="283">
        <v>4</v>
      </c>
      <c r="G3060" s="283" t="s">
        <v>868</v>
      </c>
      <c r="H3060" s="374" t="s">
        <v>1465</v>
      </c>
      <c r="I3060" s="283">
        <f t="shared" si="288"/>
        <v>64.8</v>
      </c>
      <c r="J3060" s="744" t="s">
        <v>868</v>
      </c>
      <c r="K3060" s="283">
        <f t="shared" si="287"/>
        <v>259.2</v>
      </c>
      <c r="O3060" s="748" t="s">
        <v>1586</v>
      </c>
      <c r="Q3060" s="744"/>
      <c r="W3060" s="744"/>
    </row>
    <row r="3061" spans="6:23" ht="24" customHeight="1">
      <c r="F3061" s="283">
        <v>1</v>
      </c>
      <c r="G3061" s="283" t="s">
        <v>868</v>
      </c>
      <c r="H3061" s="374" t="s">
        <v>1466</v>
      </c>
      <c r="I3061" s="283">
        <f t="shared" si="288"/>
        <v>181</v>
      </c>
      <c r="J3061" s="744" t="s">
        <v>868</v>
      </c>
      <c r="K3061" s="283">
        <f t="shared" si="287"/>
        <v>181</v>
      </c>
      <c r="O3061" s="374" t="s">
        <v>364</v>
      </c>
      <c r="Q3061" s="744"/>
      <c r="W3061" s="744"/>
    </row>
    <row r="3062" spans="6:23" ht="24" customHeight="1">
      <c r="F3062" s="283">
        <v>2</v>
      </c>
      <c r="G3062" s="283" t="s">
        <v>868</v>
      </c>
      <c r="H3062" s="374" t="s">
        <v>1467</v>
      </c>
      <c r="I3062" s="283">
        <f t="shared" si="288"/>
        <v>7.3</v>
      </c>
      <c r="J3062" s="744" t="s">
        <v>868</v>
      </c>
      <c r="K3062" s="283">
        <f t="shared" si="287"/>
        <v>14.6</v>
      </c>
      <c r="Q3062" s="744"/>
      <c r="W3062" s="744"/>
    </row>
    <row r="3063" spans="6:23" ht="24" customHeight="1">
      <c r="F3063" s="283">
        <v>2</v>
      </c>
      <c r="G3063" s="283" t="s">
        <v>868</v>
      </c>
      <c r="H3063" s="374" t="s">
        <v>1982</v>
      </c>
      <c r="I3063" s="283">
        <f t="shared" si="288"/>
        <v>49.55</v>
      </c>
      <c r="J3063" s="744" t="s">
        <v>868</v>
      </c>
      <c r="K3063" s="283">
        <f t="shared" si="287"/>
        <v>99.1</v>
      </c>
      <c r="M3063" s="746">
        <v>3.29</v>
      </c>
      <c r="N3063" s="283" t="s">
        <v>609</v>
      </c>
      <c r="O3063" s="777" t="s">
        <v>741</v>
      </c>
      <c r="P3063" s="283">
        <f>I3056</f>
        <v>2180</v>
      </c>
      <c r="Q3063" s="744" t="s">
        <v>609</v>
      </c>
      <c r="R3063" s="283">
        <f>M3064*P3063</f>
        <v>7172.2</v>
      </c>
      <c r="W3063" s="744"/>
    </row>
    <row r="3064" spans="6:23" ht="33.75" customHeight="1">
      <c r="J3064" s="744"/>
      <c r="K3064" s="784">
        <v>0.2</v>
      </c>
      <c r="M3064" s="746">
        <v>3.29</v>
      </c>
      <c r="N3064" s="283" t="s">
        <v>609</v>
      </c>
      <c r="O3064" s="374" t="s">
        <v>447</v>
      </c>
      <c r="P3064" s="283">
        <f t="shared" ref="P3064:P3070" si="289">I3057</f>
        <v>0</v>
      </c>
      <c r="Q3064" s="744" t="s">
        <v>609</v>
      </c>
      <c r="R3064" s="283">
        <f t="shared" ref="R3064:R3070" si="290">(M3064*P3064)</f>
        <v>0</v>
      </c>
      <c r="W3064" s="744"/>
    </row>
    <row r="3065" spans="6:23" ht="33.75" customHeight="1">
      <c r="H3065" s="374" t="s">
        <v>758</v>
      </c>
      <c r="J3065" s="744"/>
      <c r="K3065" s="283">
        <f>SUM(K3056:K3064)</f>
        <v>6178.25</v>
      </c>
      <c r="M3065" s="283">
        <v>4</v>
      </c>
      <c r="N3065" s="283" t="s">
        <v>769</v>
      </c>
      <c r="O3065" s="374" t="s">
        <v>1463</v>
      </c>
      <c r="P3065" s="283">
        <f t="shared" si="289"/>
        <v>57.65</v>
      </c>
      <c r="Q3065" s="744" t="s">
        <v>868</v>
      </c>
      <c r="R3065" s="283">
        <f t="shared" si="290"/>
        <v>230.6</v>
      </c>
      <c r="W3065" s="744"/>
    </row>
    <row r="3066" spans="6:23" ht="24" customHeight="1">
      <c r="J3066" s="744"/>
      <c r="K3066" s="748" t="s">
        <v>1586</v>
      </c>
      <c r="M3066" s="283">
        <v>6</v>
      </c>
      <c r="N3066" s="283" t="s">
        <v>868</v>
      </c>
      <c r="O3066" s="374" t="s">
        <v>1464</v>
      </c>
      <c r="P3066" s="283">
        <f t="shared" si="289"/>
        <v>89.6</v>
      </c>
      <c r="Q3066" s="744" t="s">
        <v>868</v>
      </c>
      <c r="R3066" s="283">
        <f t="shared" si="290"/>
        <v>537.6</v>
      </c>
      <c r="W3066" s="744"/>
    </row>
    <row r="3067" spans="6:23" ht="24" customHeight="1">
      <c r="H3067" s="374" t="s">
        <v>552</v>
      </c>
      <c r="J3067" s="744"/>
      <c r="K3067" s="283">
        <f>K3065/F3057</f>
        <v>2773.63</v>
      </c>
      <c r="M3067" s="283">
        <v>4</v>
      </c>
      <c r="N3067" s="283" t="s">
        <v>868</v>
      </c>
      <c r="O3067" s="374" t="s">
        <v>1465</v>
      </c>
      <c r="P3067" s="283">
        <f t="shared" si="289"/>
        <v>64.8</v>
      </c>
      <c r="Q3067" s="744" t="s">
        <v>868</v>
      </c>
      <c r="R3067" s="283">
        <f t="shared" si="290"/>
        <v>259.2</v>
      </c>
      <c r="W3067" s="744"/>
    </row>
    <row r="3068" spans="6:23" ht="24" customHeight="1">
      <c r="M3068" s="283">
        <v>1</v>
      </c>
      <c r="N3068" s="283" t="s">
        <v>868</v>
      </c>
      <c r="O3068" s="374" t="s">
        <v>1466</v>
      </c>
      <c r="P3068" s="283">
        <f t="shared" si="289"/>
        <v>181</v>
      </c>
      <c r="Q3068" s="744" t="s">
        <v>868</v>
      </c>
      <c r="R3068" s="283">
        <f t="shared" si="290"/>
        <v>181</v>
      </c>
      <c r="W3068" s="744"/>
    </row>
    <row r="3069" spans="6:23" ht="24" customHeight="1">
      <c r="F3069" s="744" t="s">
        <v>564</v>
      </c>
      <c r="G3069" s="283" t="s">
        <v>2251</v>
      </c>
      <c r="H3069" s="374" t="s">
        <v>1768</v>
      </c>
      <c r="J3069" s="744"/>
      <c r="M3069" s="283">
        <v>2</v>
      </c>
      <c r="N3069" s="283" t="s">
        <v>868</v>
      </c>
      <c r="O3069" s="374" t="s">
        <v>1467</v>
      </c>
      <c r="P3069" s="283">
        <f t="shared" si="289"/>
        <v>7.3</v>
      </c>
      <c r="Q3069" s="744" t="s">
        <v>868</v>
      </c>
      <c r="R3069" s="283">
        <f t="shared" si="290"/>
        <v>14.6</v>
      </c>
      <c r="W3069" s="744"/>
    </row>
    <row r="3070" spans="6:23" ht="24" customHeight="1">
      <c r="H3070" s="374" t="s">
        <v>256</v>
      </c>
      <c r="J3070" s="744"/>
      <c r="M3070" s="283">
        <v>2</v>
      </c>
      <c r="N3070" s="283" t="s">
        <v>868</v>
      </c>
      <c r="O3070" s="374" t="s">
        <v>1982</v>
      </c>
      <c r="P3070" s="283">
        <f t="shared" si="289"/>
        <v>49.55</v>
      </c>
      <c r="Q3070" s="744" t="s">
        <v>868</v>
      </c>
      <c r="R3070" s="283">
        <f t="shared" si="290"/>
        <v>99.1</v>
      </c>
      <c r="W3070" s="744"/>
    </row>
    <row r="3071" spans="6:23" ht="24" customHeight="1">
      <c r="H3071" s="374" t="s">
        <v>1926</v>
      </c>
      <c r="J3071" s="744"/>
      <c r="Q3071" s="744"/>
      <c r="R3071" s="748" t="s">
        <v>1586</v>
      </c>
      <c r="W3071" s="744"/>
    </row>
    <row r="3072" spans="6:23" ht="24" customHeight="1">
      <c r="H3072" s="748" t="s">
        <v>1586</v>
      </c>
      <c r="J3072" s="744"/>
      <c r="O3072" s="374" t="s">
        <v>365</v>
      </c>
      <c r="Q3072" s="744"/>
      <c r="R3072" s="283">
        <f>SUM(R3063:R3071)+0.5</f>
        <v>8494.7999999999993</v>
      </c>
      <c r="W3072" s="744"/>
    </row>
    <row r="3073" spans="6:23" ht="24" customHeight="1">
      <c r="H3073" s="374" t="s">
        <v>103</v>
      </c>
      <c r="J3073" s="744"/>
      <c r="Q3073" s="744"/>
      <c r="R3073" s="748" t="s">
        <v>1586</v>
      </c>
      <c r="W3073" s="744"/>
    </row>
    <row r="3074" spans="6:23" ht="24" customHeight="1">
      <c r="J3074" s="744"/>
      <c r="O3074" s="374" t="s">
        <v>552</v>
      </c>
      <c r="Q3074" s="744"/>
      <c r="R3074" s="283">
        <f>R3072/M3063</f>
        <v>2582.0100000000002</v>
      </c>
      <c r="W3074" s="744"/>
    </row>
    <row r="3075" spans="6:23" ht="24" customHeight="1">
      <c r="F3075" s="746">
        <v>2.87</v>
      </c>
      <c r="G3075" s="283" t="s">
        <v>609</v>
      </c>
      <c r="H3075" s="777" t="s">
        <v>741</v>
      </c>
      <c r="I3075" s="283">
        <f>I3056</f>
        <v>2180</v>
      </c>
      <c r="J3075" s="744" t="s">
        <v>609</v>
      </c>
      <c r="K3075" s="283">
        <f>F3076*I3075</f>
        <v>6256.6</v>
      </c>
      <c r="Q3075" s="374"/>
      <c r="W3075" s="744"/>
    </row>
    <row r="3076" spans="6:23" ht="24" customHeight="1">
      <c r="F3076" s="746">
        <f>F3075</f>
        <v>2.87</v>
      </c>
      <c r="G3076" s="283" t="s">
        <v>609</v>
      </c>
      <c r="H3076" s="374" t="s">
        <v>447</v>
      </c>
      <c r="I3076" s="784">
        <f t="shared" ref="I3076:I3082" si="291">I3057</f>
        <v>0</v>
      </c>
      <c r="J3076" s="744" t="s">
        <v>609</v>
      </c>
      <c r="K3076" s="283">
        <f t="shared" ref="K3076:K3082" si="292">(F3076*I3076)</f>
        <v>0</v>
      </c>
      <c r="W3076" s="744"/>
    </row>
    <row r="3077" spans="6:23" ht="24" customHeight="1">
      <c r="F3077" s="283">
        <v>4</v>
      </c>
      <c r="G3077" s="283" t="s">
        <v>769</v>
      </c>
      <c r="H3077" s="374" t="s">
        <v>1463</v>
      </c>
      <c r="I3077" s="283">
        <f t="shared" si="291"/>
        <v>57.65</v>
      </c>
      <c r="J3077" s="744" t="s">
        <v>868</v>
      </c>
      <c r="K3077" s="283">
        <f t="shared" si="292"/>
        <v>230.6</v>
      </c>
      <c r="W3077" s="744"/>
    </row>
    <row r="3078" spans="6:23" ht="24" customHeight="1">
      <c r="F3078" s="283">
        <v>6</v>
      </c>
      <c r="G3078" s="283" t="s">
        <v>868</v>
      </c>
      <c r="H3078" s="374" t="s">
        <v>1464</v>
      </c>
      <c r="I3078" s="283">
        <f t="shared" si="291"/>
        <v>89.6</v>
      </c>
      <c r="J3078" s="744" t="s">
        <v>868</v>
      </c>
      <c r="K3078" s="283">
        <f t="shared" si="292"/>
        <v>537.6</v>
      </c>
      <c r="W3078" s="744"/>
    </row>
    <row r="3079" spans="6:23" ht="24" customHeight="1">
      <c r="F3079" s="283">
        <v>4</v>
      </c>
      <c r="G3079" s="283" t="s">
        <v>868</v>
      </c>
      <c r="H3079" s="374" t="s">
        <v>1465</v>
      </c>
      <c r="I3079" s="283">
        <f t="shared" si="291"/>
        <v>64.8</v>
      </c>
      <c r="J3079" s="744" t="s">
        <v>868</v>
      </c>
      <c r="K3079" s="283">
        <f t="shared" si="292"/>
        <v>259.2</v>
      </c>
      <c r="W3079" s="744"/>
    </row>
    <row r="3080" spans="6:23" ht="24" customHeight="1">
      <c r="F3080" s="283">
        <v>1</v>
      </c>
      <c r="G3080" s="283" t="s">
        <v>868</v>
      </c>
      <c r="H3080" s="374" t="s">
        <v>1466</v>
      </c>
      <c r="I3080" s="283">
        <f t="shared" si="291"/>
        <v>181</v>
      </c>
      <c r="J3080" s="744" t="s">
        <v>868</v>
      </c>
      <c r="K3080" s="283">
        <f t="shared" si="292"/>
        <v>181</v>
      </c>
      <c r="W3080" s="744"/>
    </row>
    <row r="3081" spans="6:23" ht="24" customHeight="1">
      <c r="F3081" s="283">
        <v>2</v>
      </c>
      <c r="G3081" s="283" t="s">
        <v>868</v>
      </c>
      <c r="H3081" s="374" t="s">
        <v>1467</v>
      </c>
      <c r="I3081" s="283">
        <f t="shared" si="291"/>
        <v>7.3</v>
      </c>
      <c r="J3081" s="744" t="s">
        <v>868</v>
      </c>
      <c r="K3081" s="283">
        <f t="shared" si="292"/>
        <v>14.6</v>
      </c>
      <c r="W3081" s="744"/>
    </row>
    <row r="3082" spans="6:23" ht="24" customHeight="1">
      <c r="F3082" s="283">
        <v>2</v>
      </c>
      <c r="G3082" s="283" t="s">
        <v>868</v>
      </c>
      <c r="H3082" s="374" t="s">
        <v>1982</v>
      </c>
      <c r="I3082" s="283">
        <f t="shared" si="291"/>
        <v>49.55</v>
      </c>
      <c r="J3082" s="744" t="s">
        <v>868</v>
      </c>
      <c r="K3082" s="283">
        <f t="shared" si="292"/>
        <v>99.1</v>
      </c>
      <c r="W3082" s="744"/>
    </row>
    <row r="3083" spans="6:23" ht="24" customHeight="1">
      <c r="J3083" s="744"/>
      <c r="K3083" s="784">
        <f>1.19+0.16</f>
        <v>1.35</v>
      </c>
      <c r="W3083" s="744"/>
    </row>
    <row r="3084" spans="6:23" ht="24" customHeight="1">
      <c r="H3084" s="374" t="s">
        <v>104</v>
      </c>
      <c r="J3084" s="744"/>
      <c r="K3084" s="283">
        <f>SUM(K3075:K3083)</f>
        <v>7580.05</v>
      </c>
      <c r="W3084" s="744"/>
    </row>
    <row r="3085" spans="6:23" ht="24" customHeight="1">
      <c r="J3085" s="744"/>
      <c r="K3085" s="748" t="s">
        <v>1586</v>
      </c>
      <c r="W3085" s="744"/>
    </row>
    <row r="3086" spans="6:23" ht="24" customHeight="1">
      <c r="H3086" s="374" t="s">
        <v>552</v>
      </c>
      <c r="J3086" s="744"/>
      <c r="K3086" s="283">
        <f>K3084/F3076</f>
        <v>2641.13</v>
      </c>
      <c r="W3086" s="744"/>
    </row>
    <row r="3087" spans="6:23" ht="24" customHeight="1">
      <c r="W3087" s="744"/>
    </row>
    <row r="3088" spans="6:23" ht="24" customHeight="1">
      <c r="F3088" s="848" t="s">
        <v>880</v>
      </c>
      <c r="G3088" s="849"/>
      <c r="H3088" s="850" t="s">
        <v>1230</v>
      </c>
      <c r="I3088" s="849"/>
      <c r="J3088" s="850"/>
      <c r="K3088" s="849"/>
      <c r="W3088" s="744"/>
    </row>
    <row r="3089" spans="6:42" ht="24" customHeight="1">
      <c r="F3089" s="849"/>
      <c r="G3089" s="849"/>
      <c r="H3089" s="851" t="s">
        <v>1586</v>
      </c>
      <c r="I3089" s="851" t="s">
        <v>1586</v>
      </c>
      <c r="J3089" s="850" t="s">
        <v>1586</v>
      </c>
      <c r="K3089" s="849"/>
      <c r="W3089" s="744"/>
    </row>
    <row r="3090" spans="6:42" ht="24" customHeight="1">
      <c r="F3090" s="849"/>
      <c r="G3090" s="849"/>
      <c r="H3090" s="849"/>
      <c r="I3090" s="849"/>
      <c r="J3090" s="850"/>
      <c r="K3090" s="849"/>
      <c r="W3090" s="744"/>
    </row>
    <row r="3091" spans="6:42" ht="24" customHeight="1">
      <c r="F3091" s="849"/>
      <c r="G3091" s="849"/>
      <c r="H3091" s="850" t="s">
        <v>2000</v>
      </c>
      <c r="I3091" s="849"/>
      <c r="J3091" s="850"/>
      <c r="K3091" s="849"/>
      <c r="W3091" s="744"/>
    </row>
    <row r="3092" spans="6:42" ht="24" customHeight="1">
      <c r="F3092" s="849"/>
      <c r="G3092" s="849"/>
      <c r="H3092" s="850"/>
      <c r="I3092" s="849"/>
      <c r="J3092" s="850"/>
      <c r="K3092" s="849"/>
      <c r="W3092" s="744"/>
    </row>
    <row r="3093" spans="6:42" ht="24" customHeight="1">
      <c r="F3093" s="849"/>
      <c r="G3093" s="849"/>
      <c r="H3093" s="850" t="s">
        <v>2001</v>
      </c>
      <c r="I3093" s="849"/>
      <c r="J3093" s="850"/>
      <c r="K3093" s="849"/>
      <c r="W3093" s="744"/>
    </row>
    <row r="3094" spans="6:42" ht="24" customHeight="1">
      <c r="F3094" s="849"/>
      <c r="G3094" s="849"/>
      <c r="H3094" s="850" t="s">
        <v>454</v>
      </c>
      <c r="I3094" s="849"/>
      <c r="J3094" s="850"/>
      <c r="K3094" s="849"/>
      <c r="W3094" s="744"/>
    </row>
    <row r="3095" spans="6:42" ht="24" customHeight="1">
      <c r="F3095" s="849"/>
      <c r="G3095" s="849"/>
      <c r="H3095" s="850" t="s">
        <v>455</v>
      </c>
      <c r="I3095" s="849"/>
      <c r="J3095" s="850"/>
      <c r="K3095" s="849"/>
      <c r="S3095" s="744"/>
      <c r="U3095" s="374"/>
      <c r="W3095" s="744"/>
    </row>
    <row r="3096" spans="6:42" ht="24" customHeight="1">
      <c r="F3096" s="849"/>
      <c r="G3096" s="849"/>
      <c r="H3096" s="850" t="s">
        <v>456</v>
      </c>
      <c r="I3096" s="849"/>
      <c r="J3096" s="850"/>
      <c r="K3096" s="849"/>
      <c r="S3096" s="283"/>
      <c r="U3096" s="374"/>
      <c r="W3096" s="744"/>
    </row>
    <row r="3097" spans="6:42" ht="24" customHeight="1">
      <c r="F3097" s="849"/>
      <c r="G3097" s="849"/>
      <c r="H3097" s="850" t="s">
        <v>881</v>
      </c>
      <c r="I3097" s="849"/>
      <c r="J3097" s="850" t="s">
        <v>975</v>
      </c>
      <c r="K3097" s="852">
        <v>3.7699999999999997E-2</v>
      </c>
      <c r="S3097" s="283"/>
      <c r="U3097" s="374"/>
      <c r="W3097" s="744"/>
    </row>
    <row r="3098" spans="6:42" ht="24" customHeight="1">
      <c r="F3098" s="849"/>
      <c r="G3098" s="849"/>
      <c r="H3098" s="850" t="s">
        <v>452</v>
      </c>
      <c r="I3098" s="849"/>
      <c r="J3098" s="853" t="s">
        <v>975</v>
      </c>
      <c r="K3098" s="853" t="s">
        <v>975</v>
      </c>
      <c r="S3098" s="283"/>
      <c r="U3098" s="374"/>
      <c r="W3098" s="744"/>
    </row>
    <row r="3099" spans="6:42" ht="24" customHeight="1">
      <c r="F3099" s="849"/>
      <c r="G3099" s="849"/>
      <c r="H3099" s="850" t="s">
        <v>1830</v>
      </c>
      <c r="I3099" s="849"/>
      <c r="J3099" s="850"/>
      <c r="K3099" s="853" t="s">
        <v>975</v>
      </c>
      <c r="S3099" s="283"/>
      <c r="U3099" s="374"/>
      <c r="W3099" s="744"/>
    </row>
    <row r="3100" spans="6:42" ht="24" customHeight="1">
      <c r="F3100" s="849"/>
      <c r="G3100" s="849"/>
      <c r="H3100" s="849"/>
      <c r="I3100" s="849"/>
      <c r="J3100" s="850"/>
      <c r="K3100" s="849"/>
      <c r="S3100" s="283"/>
      <c r="U3100" s="283" t="s">
        <v>3542</v>
      </c>
      <c r="W3100" s="744"/>
    </row>
    <row r="3101" spans="6:42" ht="31.5" customHeight="1">
      <c r="F3101" s="854">
        <v>1.18E-2</v>
      </c>
      <c r="G3101" s="849" t="s">
        <v>869</v>
      </c>
      <c r="H3101" s="850" t="s">
        <v>692</v>
      </c>
      <c r="I3101" s="849">
        <f>I2663</f>
        <v>111600</v>
      </c>
      <c r="J3101" s="850" t="s">
        <v>869</v>
      </c>
      <c r="K3101" s="849">
        <f t="shared" ref="K3101:K3109" si="293">(F3101*I3101)</f>
        <v>1316.88</v>
      </c>
      <c r="S3101" s="283"/>
      <c r="U3101" s="750"/>
      <c r="W3101" s="744"/>
    </row>
    <row r="3102" spans="6:42" ht="24.75" customHeight="1">
      <c r="F3102" s="854">
        <v>3.7699999999999997E-2</v>
      </c>
      <c r="G3102" s="849" t="s">
        <v>869</v>
      </c>
      <c r="H3102" s="850" t="s">
        <v>693</v>
      </c>
      <c r="I3102" s="849">
        <f t="shared" ref="I3102:I3109" si="294">I2664</f>
        <v>99400</v>
      </c>
      <c r="J3102" s="850" t="s">
        <v>869</v>
      </c>
      <c r="K3102" s="849">
        <f t="shared" si="293"/>
        <v>3747.38</v>
      </c>
      <c r="S3102" s="283"/>
      <c r="U3102" s="374" t="s">
        <v>3543</v>
      </c>
      <c r="V3102" s="783">
        <f xml:space="preserve"> 3.08*2.1</f>
        <v>6.468</v>
      </c>
      <c r="W3102" s="744" t="s">
        <v>233</v>
      </c>
      <c r="X3102" s="283" t="s">
        <v>233</v>
      </c>
    </row>
    <row r="3103" spans="6:42" ht="36" customHeight="1">
      <c r="F3103" s="854">
        <v>1.8550000000000001E-2</v>
      </c>
      <c r="G3103" s="849" t="s">
        <v>869</v>
      </c>
      <c r="H3103" s="850" t="s">
        <v>886</v>
      </c>
      <c r="I3103" s="849">
        <f t="shared" si="294"/>
        <v>13690</v>
      </c>
      <c r="J3103" s="850" t="s">
        <v>869</v>
      </c>
      <c r="K3103" s="849">
        <f t="shared" si="293"/>
        <v>253.95</v>
      </c>
      <c r="S3103" s="283"/>
      <c r="U3103" s="374" t="s">
        <v>3829</v>
      </c>
      <c r="V3103" s="782">
        <f>4*2.05*0.075*0.0375</f>
        <v>2.3060000000000001E-2</v>
      </c>
      <c r="W3103" s="744" t="s">
        <v>1341</v>
      </c>
      <c r="AE3103" s="751" t="s">
        <v>3654</v>
      </c>
      <c r="AP3103" s="751" t="s">
        <v>4238</v>
      </c>
    </row>
    <row r="3104" spans="6:42" ht="45" customHeight="1">
      <c r="F3104" s="854">
        <v>1.36</v>
      </c>
      <c r="G3104" s="849" t="s">
        <v>609</v>
      </c>
      <c r="H3104" s="850" t="s">
        <v>1231</v>
      </c>
      <c r="I3104" s="849">
        <f>I1056</f>
        <v>387.4</v>
      </c>
      <c r="J3104" s="850" t="s">
        <v>609</v>
      </c>
      <c r="K3104" s="849">
        <f t="shared" si="293"/>
        <v>526.86</v>
      </c>
      <c r="S3104" s="283"/>
      <c r="W3104" s="744" t="s">
        <v>1586</v>
      </c>
      <c r="AE3104" s="283" t="s">
        <v>3216</v>
      </c>
      <c r="AP3104" s="283" t="s">
        <v>3216</v>
      </c>
    </row>
    <row r="3105" spans="6:47" ht="31.5" customHeight="1">
      <c r="F3105" s="854">
        <v>2.0499999999999998</v>
      </c>
      <c r="G3105" s="849" t="s">
        <v>609</v>
      </c>
      <c r="H3105" s="850" t="s">
        <v>1506</v>
      </c>
      <c r="I3105" s="849">
        <f t="shared" si="294"/>
        <v>1281</v>
      </c>
      <c r="J3105" s="850" t="s">
        <v>609</v>
      </c>
      <c r="K3105" s="849">
        <f t="shared" si="293"/>
        <v>2626.05</v>
      </c>
      <c r="S3105" s="283"/>
      <c r="U3105" s="374" t="s">
        <v>3830</v>
      </c>
      <c r="V3105" s="782">
        <f>2*3*0.55*0.15*0.0375</f>
        <v>1.856E-2</v>
      </c>
      <c r="W3105" s="744" t="s">
        <v>1341</v>
      </c>
      <c r="AE3105" s="283" t="s">
        <v>3655</v>
      </c>
      <c r="AP3105" s="283" t="s">
        <v>3655</v>
      </c>
    </row>
    <row r="3106" spans="6:47" ht="31.5" customHeight="1">
      <c r="F3106" s="849">
        <v>2</v>
      </c>
      <c r="G3106" s="849" t="s">
        <v>868</v>
      </c>
      <c r="H3106" s="850" t="s">
        <v>5888</v>
      </c>
      <c r="I3106" s="849">
        <v>57</v>
      </c>
      <c r="J3106" s="850" t="s">
        <v>868</v>
      </c>
      <c r="K3106" s="849">
        <f t="shared" si="293"/>
        <v>114</v>
      </c>
      <c r="S3106" s="283"/>
      <c r="U3106" s="374" t="s">
        <v>975</v>
      </c>
      <c r="V3106" s="374" t="s">
        <v>975</v>
      </c>
      <c r="W3106" s="744"/>
      <c r="X3106" s="796" t="s">
        <v>975</v>
      </c>
      <c r="AC3106" s="283">
        <v>0.1</v>
      </c>
      <c r="AD3106" s="283" t="s">
        <v>1432</v>
      </c>
      <c r="AE3106" s="283" t="s">
        <v>653</v>
      </c>
      <c r="AF3106" s="283">
        <f>AE17</f>
        <v>881</v>
      </c>
      <c r="AG3106" s="283" t="s">
        <v>1398</v>
      </c>
      <c r="AH3106" s="283">
        <f>AC3106*AF3106</f>
        <v>88.1</v>
      </c>
      <c r="AM3106" s="283">
        <v>0.1</v>
      </c>
      <c r="AN3106" s="283" t="s">
        <v>1432</v>
      </c>
      <c r="AP3106" s="283" t="s">
        <v>653</v>
      </c>
      <c r="AQ3106" s="283">
        <f>AF3106</f>
        <v>881</v>
      </c>
      <c r="AR3106" s="283" t="s">
        <v>1398</v>
      </c>
      <c r="AS3106" s="283">
        <f>AQ3106*AM3106</f>
        <v>88.1</v>
      </c>
    </row>
    <row r="3107" spans="6:47" ht="36" customHeight="1">
      <c r="F3107" s="849">
        <v>6</v>
      </c>
      <c r="G3107" s="849" t="s">
        <v>868</v>
      </c>
      <c r="H3107" s="850" t="s">
        <v>1343</v>
      </c>
      <c r="I3107" s="849">
        <f t="shared" si="294"/>
        <v>49.35</v>
      </c>
      <c r="J3107" s="850" t="s">
        <v>868</v>
      </c>
      <c r="K3107" s="849">
        <f t="shared" si="293"/>
        <v>296.10000000000002</v>
      </c>
      <c r="S3107" s="283"/>
      <c r="W3107" s="744" t="s">
        <v>975</v>
      </c>
      <c r="X3107" s="374" t="s">
        <v>975</v>
      </c>
      <c r="AC3107" s="283">
        <v>0.1</v>
      </c>
      <c r="AD3107" s="283" t="s">
        <v>3656</v>
      </c>
      <c r="AE3107" s="283" t="s">
        <v>348</v>
      </c>
      <c r="AF3107" s="283">
        <f>AE11</f>
        <v>651</v>
      </c>
      <c r="AG3107" s="283" t="s">
        <v>1398</v>
      </c>
      <c r="AH3107" s="283">
        <f>AC3107*AF3107</f>
        <v>65.099999999999994</v>
      </c>
      <c r="AM3107" s="283">
        <v>0.1</v>
      </c>
      <c r="AN3107" s="283" t="s">
        <v>3656</v>
      </c>
      <c r="AP3107" s="283" t="s">
        <v>348</v>
      </c>
      <c r="AQ3107" s="283">
        <f>AF3107</f>
        <v>651</v>
      </c>
      <c r="AR3107" s="283" t="s">
        <v>1398</v>
      </c>
      <c r="AS3107" s="283">
        <f>AQ3107*AM3107</f>
        <v>65.099999999999994</v>
      </c>
    </row>
    <row r="3108" spans="6:47" ht="24.75" customHeight="1">
      <c r="F3108" s="849">
        <v>2</v>
      </c>
      <c r="G3108" s="849" t="s">
        <v>868</v>
      </c>
      <c r="H3108" s="850" t="s">
        <v>1390</v>
      </c>
      <c r="I3108" s="849">
        <f t="shared" si="294"/>
        <v>60.9</v>
      </c>
      <c r="J3108" s="850" t="s">
        <v>868</v>
      </c>
      <c r="K3108" s="849">
        <f t="shared" si="293"/>
        <v>121.8</v>
      </c>
      <c r="S3108" s="283"/>
      <c r="U3108" s="374" t="s">
        <v>2438</v>
      </c>
      <c r="V3108" s="283">
        <f>2*0.625*0.425</f>
        <v>0.53</v>
      </c>
      <c r="W3108" s="864" t="s">
        <v>975</v>
      </c>
      <c r="X3108" s="796" t="s">
        <v>975</v>
      </c>
      <c r="AC3108" s="283">
        <v>10</v>
      </c>
      <c r="AD3108" s="283" t="s">
        <v>3657</v>
      </c>
      <c r="AE3108" s="283" t="s">
        <v>5341</v>
      </c>
      <c r="AF3108" s="283">
        <v>18.45</v>
      </c>
      <c r="AG3108" s="283" t="s">
        <v>3658</v>
      </c>
      <c r="AH3108" s="283">
        <f>(AC3108*AF3108)/100</f>
        <v>1.85</v>
      </c>
      <c r="AM3108" s="283">
        <v>10</v>
      </c>
      <c r="AN3108" s="283" t="s">
        <v>3657</v>
      </c>
      <c r="AP3108" s="283" t="s">
        <v>4340</v>
      </c>
      <c r="AQ3108" s="283">
        <f>AF3108</f>
        <v>18.45</v>
      </c>
      <c r="AR3108" s="283" t="s">
        <v>3658</v>
      </c>
      <c r="AS3108" s="283">
        <f>(AQ3108*AM3108)/100</f>
        <v>1.85</v>
      </c>
    </row>
    <row r="3109" spans="6:47" ht="29.25" customHeight="1">
      <c r="F3109" s="849">
        <v>1</v>
      </c>
      <c r="G3109" s="849" t="s">
        <v>868</v>
      </c>
      <c r="H3109" s="850" t="s">
        <v>1417</v>
      </c>
      <c r="I3109" s="849">
        <f t="shared" si="294"/>
        <v>63.2</v>
      </c>
      <c r="J3109" s="850" t="s">
        <v>868</v>
      </c>
      <c r="K3109" s="849">
        <f t="shared" si="293"/>
        <v>63.2</v>
      </c>
      <c r="S3109" s="283"/>
      <c r="U3109" s="374" t="s">
        <v>2439</v>
      </c>
      <c r="V3109" s="283">
        <f>2*0.425*1.025</f>
        <v>0.87</v>
      </c>
      <c r="W3109" s="744"/>
      <c r="X3109" s="796">
        <v>1.26</v>
      </c>
      <c r="AC3109" s="283">
        <v>0.25</v>
      </c>
      <c r="AD3109" s="283" t="s">
        <v>1432</v>
      </c>
      <c r="AE3109" s="283" t="s">
        <v>5342</v>
      </c>
      <c r="AF3109" s="283">
        <v>3.6</v>
      </c>
      <c r="AG3109" s="283" t="s">
        <v>1398</v>
      </c>
      <c r="AH3109" s="283">
        <v>1</v>
      </c>
      <c r="AM3109" s="283">
        <v>0.25</v>
      </c>
      <c r="AN3109" s="283" t="s">
        <v>1432</v>
      </c>
      <c r="AP3109" s="283" t="s">
        <v>4341</v>
      </c>
      <c r="AQ3109" s="283">
        <f>AF3109</f>
        <v>3.6</v>
      </c>
      <c r="AR3109" s="283" t="s">
        <v>1398</v>
      </c>
      <c r="AS3109" s="283">
        <f>AQ3109*AM3109</f>
        <v>0.9</v>
      </c>
      <c r="AU3109" s="283">
        <f>3.09/0.25</f>
        <v>12.36</v>
      </c>
    </row>
    <row r="3110" spans="6:47" ht="24" customHeight="1">
      <c r="F3110" s="849">
        <v>6.55</v>
      </c>
      <c r="G3110" s="849" t="s">
        <v>609</v>
      </c>
      <c r="H3110" s="850" t="s">
        <v>1345</v>
      </c>
      <c r="I3110" s="849">
        <f>K1541</f>
        <v>233.74</v>
      </c>
      <c r="J3110" s="850" t="s">
        <v>609</v>
      </c>
      <c r="K3110" s="849">
        <f>(F3110*I3110)</f>
        <v>1531</v>
      </c>
      <c r="S3110" s="283"/>
      <c r="V3110" s="751">
        <f>SUM(V3108:V3109)</f>
        <v>1.4</v>
      </c>
      <c r="W3110" s="744" t="s">
        <v>233</v>
      </c>
      <c r="X3110" s="374" t="s">
        <v>975</v>
      </c>
      <c r="AF3110" s="283" t="s">
        <v>3659</v>
      </c>
      <c r="AH3110" s="283">
        <f>SUM(AH3106:AH3109)</f>
        <v>156.05000000000001</v>
      </c>
      <c r="AQ3110" s="283" t="s">
        <v>3659</v>
      </c>
      <c r="AS3110" s="283">
        <f>SUM(AS3106:AS3109)</f>
        <v>155.94999999999999</v>
      </c>
    </row>
    <row r="3111" spans="6:47" ht="27.75" customHeight="1">
      <c r="F3111" s="849">
        <v>50</v>
      </c>
      <c r="G3111" s="849" t="s">
        <v>1432</v>
      </c>
      <c r="H3111" s="850" t="s">
        <v>1335</v>
      </c>
      <c r="I3111" s="870">
        <f>I962</f>
        <v>2.41</v>
      </c>
      <c r="J3111" s="850"/>
      <c r="K3111" s="849">
        <f>(F3111*I3111)</f>
        <v>120.5</v>
      </c>
      <c r="S3111" s="283"/>
      <c r="W3111" s="744"/>
      <c r="X3111" s="796" t="s">
        <v>975</v>
      </c>
    </row>
    <row r="3112" spans="6:47" ht="24" customHeight="1">
      <c r="F3112" s="849"/>
      <c r="G3112" s="849"/>
      <c r="H3112" s="856"/>
      <c r="I3112" s="856"/>
      <c r="J3112" s="749"/>
      <c r="K3112" s="857" t="s">
        <v>1586</v>
      </c>
      <c r="S3112" s="283"/>
      <c r="W3112" s="744"/>
      <c r="X3112" s="374" t="s">
        <v>975</v>
      </c>
      <c r="AE3112" s="283" t="s">
        <v>463</v>
      </c>
      <c r="AF3112" s="283" t="s">
        <v>3660</v>
      </c>
      <c r="AG3112" s="283" t="s">
        <v>3660</v>
      </c>
      <c r="AH3112" s="283" t="s">
        <v>3661</v>
      </c>
      <c r="AP3112" s="283" t="s">
        <v>463</v>
      </c>
      <c r="AQ3112" s="751" t="s">
        <v>3660</v>
      </c>
      <c r="AR3112" s="751" t="s">
        <v>3661</v>
      </c>
    </row>
    <row r="3113" spans="6:47" ht="26.25" customHeight="1">
      <c r="F3113" s="849"/>
      <c r="G3113" s="849"/>
      <c r="H3113" s="858" t="s">
        <v>1415</v>
      </c>
      <c r="I3113" s="856"/>
      <c r="J3113" s="749"/>
      <c r="K3113" s="856">
        <f>SUM(K3101:K3111)</f>
        <v>10717.72</v>
      </c>
      <c r="S3113" s="744" t="s">
        <v>1473</v>
      </c>
      <c r="U3113" s="745" t="s">
        <v>3549</v>
      </c>
      <c r="W3113" s="744"/>
      <c r="X3113" s="374" t="s">
        <v>975</v>
      </c>
      <c r="AF3113" s="283">
        <v>331</v>
      </c>
      <c r="AG3113" s="283">
        <v>331</v>
      </c>
      <c r="AH3113" s="283">
        <v>283</v>
      </c>
    </row>
    <row r="3114" spans="6:47" ht="24" customHeight="1">
      <c r="F3114" s="849"/>
      <c r="G3114" s="849" t="s">
        <v>975</v>
      </c>
      <c r="H3114" s="856"/>
      <c r="I3114" s="856"/>
      <c r="J3114" s="749"/>
      <c r="K3114" s="857" t="s">
        <v>1586</v>
      </c>
      <c r="S3114" s="283"/>
      <c r="U3114" s="748" t="s">
        <v>1586</v>
      </c>
      <c r="W3114" s="744"/>
      <c r="AE3114" s="283" t="s">
        <v>3662</v>
      </c>
      <c r="AF3114" s="283">
        <f>AH3110</f>
        <v>156.05000000000001</v>
      </c>
      <c r="AG3114" s="283">
        <f>AH3110</f>
        <v>156.05000000000001</v>
      </c>
      <c r="AH3114" s="283">
        <f>AH3110</f>
        <v>156.05000000000001</v>
      </c>
      <c r="AP3114" s="283" t="s">
        <v>3662</v>
      </c>
      <c r="AQ3114" s="751">
        <v>96</v>
      </c>
      <c r="AR3114" s="751">
        <v>85</v>
      </c>
      <c r="AS3114" s="751">
        <v>85</v>
      </c>
    </row>
    <row r="3115" spans="6:47" ht="24" customHeight="1">
      <c r="F3115" s="849"/>
      <c r="G3115" s="849"/>
      <c r="H3115" s="858" t="s">
        <v>552</v>
      </c>
      <c r="I3115" s="856"/>
      <c r="J3115" s="749"/>
      <c r="K3115" s="856">
        <f>K3113/2.52</f>
        <v>4253.0600000000004</v>
      </c>
      <c r="S3115" s="782">
        <v>7.0699999999999999E-2</v>
      </c>
      <c r="T3115" s="283" t="s">
        <v>869</v>
      </c>
      <c r="U3115" s="374" t="s">
        <v>3544</v>
      </c>
      <c r="V3115" s="283">
        <f>P3155</f>
        <v>99400</v>
      </c>
      <c r="W3115" s="744" t="s">
        <v>869</v>
      </c>
      <c r="X3115" s="283">
        <f>V3115*S3115</f>
        <v>7027.58</v>
      </c>
      <c r="AE3115" s="283" t="s">
        <v>1822</v>
      </c>
      <c r="AF3115" s="283">
        <f>SUM(AF3113:AF3114)</f>
        <v>487.05</v>
      </c>
      <c r="AG3115" s="283">
        <f>SUM(AG3113:AG3114)</f>
        <v>487.05</v>
      </c>
      <c r="AH3115" s="283">
        <f>SUM(AH3113:AH3114)</f>
        <v>439.05</v>
      </c>
      <c r="AP3115" s="283" t="s">
        <v>1822</v>
      </c>
      <c r="AQ3115" s="283">
        <f>AS3110</f>
        <v>155.94999999999999</v>
      </c>
      <c r="AR3115" s="283">
        <f>AS3110</f>
        <v>155.94999999999999</v>
      </c>
    </row>
    <row r="3116" spans="6:47" ht="21" customHeight="1">
      <c r="F3116" s="849"/>
      <c r="G3116" s="849"/>
      <c r="H3116" s="856"/>
      <c r="I3116" s="856"/>
      <c r="J3116" s="749"/>
      <c r="K3116" s="857" t="s">
        <v>2055</v>
      </c>
      <c r="S3116" s="782">
        <v>3.6659999999999999</v>
      </c>
      <c r="T3116" s="283" t="s">
        <v>609</v>
      </c>
      <c r="U3116" s="374" t="s">
        <v>3545</v>
      </c>
      <c r="V3116" s="283">
        <f>I1177</f>
        <v>306.89999999999998</v>
      </c>
      <c r="W3116" s="744" t="s">
        <v>869</v>
      </c>
      <c r="X3116" s="283">
        <f t="shared" ref="X3116:X3123" si="295">V3116*S3116</f>
        <v>1125.0999999999999</v>
      </c>
      <c r="AF3116" s="283">
        <f>ROUNDUP(AF3115,0)</f>
        <v>488</v>
      </c>
      <c r="AG3116" s="283">
        <f>ROUNDUP(AG3115,0)</f>
        <v>488</v>
      </c>
      <c r="AH3116" s="283">
        <f>ROUNDUP(AH3115,0)</f>
        <v>440</v>
      </c>
      <c r="AQ3116" s="751">
        <f>SUM(AQ3113:AQ3115)</f>
        <v>251.95</v>
      </c>
      <c r="AR3116" s="751">
        <f>SUM(AR3113:AR3115)</f>
        <v>240.95</v>
      </c>
    </row>
    <row r="3117" spans="6:47" ht="23.25" customHeight="1">
      <c r="S3117" s="783">
        <v>5.16</v>
      </c>
      <c r="T3117" s="283" t="s">
        <v>609</v>
      </c>
      <c r="U3117" s="374" t="s">
        <v>2092</v>
      </c>
      <c r="V3117" s="283">
        <f>AE32</f>
        <v>1436</v>
      </c>
      <c r="W3117" s="744" t="s">
        <v>609</v>
      </c>
      <c r="X3117" s="283">
        <f t="shared" si="295"/>
        <v>7409.76</v>
      </c>
      <c r="AQ3117" s="283">
        <f>ROUNDUP(AQ3116,0)</f>
        <v>252</v>
      </c>
      <c r="AR3117" s="283">
        <f>ROUNDUP(AR3116,0)</f>
        <v>241</v>
      </c>
    </row>
    <row r="3118" spans="6:47" ht="39" customHeight="1">
      <c r="S3118" s="783">
        <v>22.66</v>
      </c>
      <c r="T3118" s="283" t="s">
        <v>3550</v>
      </c>
      <c r="U3118" s="374" t="s">
        <v>3546</v>
      </c>
      <c r="V3118" s="283">
        <v>15.45</v>
      </c>
      <c r="W3118" s="744" t="s">
        <v>5040</v>
      </c>
      <c r="X3118" s="283">
        <f t="shared" si="295"/>
        <v>350.1</v>
      </c>
    </row>
    <row r="3119" spans="6:47" ht="39" customHeight="1">
      <c r="H3119" s="751" t="s">
        <v>1232</v>
      </c>
      <c r="O3119" s="751" t="s">
        <v>3690</v>
      </c>
      <c r="Q3119" s="374"/>
      <c r="S3119" s="283">
        <v>15</v>
      </c>
      <c r="T3119" s="283" t="s">
        <v>868</v>
      </c>
      <c r="U3119" s="374" t="s">
        <v>1517</v>
      </c>
      <c r="V3119" s="283">
        <f>C280</f>
        <v>89.6</v>
      </c>
      <c r="W3119" s="744" t="s">
        <v>868</v>
      </c>
      <c r="X3119" s="283">
        <f t="shared" si="295"/>
        <v>1344</v>
      </c>
    </row>
    <row r="3120" spans="6:47" ht="39" customHeight="1">
      <c r="F3120" s="283">
        <v>1</v>
      </c>
      <c r="H3120" s="283" t="s">
        <v>453</v>
      </c>
      <c r="I3120" s="283">
        <v>143.97999999999999</v>
      </c>
      <c r="J3120" s="374" t="s">
        <v>1398</v>
      </c>
      <c r="K3120" s="283">
        <f>I3120</f>
        <v>143.97999999999999</v>
      </c>
      <c r="M3120" s="283">
        <v>1</v>
      </c>
      <c r="O3120" s="283" t="s">
        <v>4605</v>
      </c>
      <c r="P3120" s="283">
        <v>17.2</v>
      </c>
      <c r="Q3120" s="374" t="s">
        <v>1398</v>
      </c>
      <c r="R3120" s="283">
        <f>P3120</f>
        <v>17.2</v>
      </c>
      <c r="S3120" s="283">
        <v>10</v>
      </c>
      <c r="T3120" s="283" t="s">
        <v>868</v>
      </c>
      <c r="U3120" s="374" t="s">
        <v>3547</v>
      </c>
      <c r="V3120" s="283">
        <v>82.25</v>
      </c>
      <c r="W3120" s="744" t="s">
        <v>868</v>
      </c>
      <c r="X3120" s="283">
        <f t="shared" si="295"/>
        <v>822.5</v>
      </c>
    </row>
    <row r="3121" spans="6:24" ht="39" customHeight="1">
      <c r="F3121" s="283">
        <v>1</v>
      </c>
      <c r="H3121" s="283" t="s">
        <v>1233</v>
      </c>
      <c r="I3121" s="283">
        <v>49.2</v>
      </c>
      <c r="J3121" s="374" t="s">
        <v>1398</v>
      </c>
      <c r="K3121" s="283">
        <f>I3121</f>
        <v>49.2</v>
      </c>
      <c r="M3121" s="283">
        <v>1</v>
      </c>
      <c r="O3121" s="283" t="s">
        <v>4604</v>
      </c>
      <c r="P3121" s="283">
        <v>8.5</v>
      </c>
      <c r="Q3121" s="374" t="s">
        <v>1398</v>
      </c>
      <c r="R3121" s="283">
        <f>P3121</f>
        <v>8.5</v>
      </c>
      <c r="S3121" s="283">
        <v>5</v>
      </c>
      <c r="T3121" s="283" t="s">
        <v>868</v>
      </c>
      <c r="U3121" s="374" t="s">
        <v>3548</v>
      </c>
      <c r="V3121" s="283">
        <f>P3162</f>
        <v>57.65</v>
      </c>
      <c r="W3121" s="744" t="s">
        <v>868</v>
      </c>
      <c r="X3121" s="283">
        <f t="shared" si="295"/>
        <v>288.25</v>
      </c>
    </row>
    <row r="3122" spans="6:24" ht="39" customHeight="1">
      <c r="F3122" s="746">
        <v>0.125</v>
      </c>
      <c r="H3122" s="283" t="s">
        <v>1234</v>
      </c>
      <c r="I3122" s="283">
        <f>C15</f>
        <v>866</v>
      </c>
      <c r="J3122" s="374" t="s">
        <v>1398</v>
      </c>
      <c r="K3122" s="283">
        <f>F3122*I3122</f>
        <v>108.25</v>
      </c>
      <c r="M3122" s="746">
        <v>0.125</v>
      </c>
      <c r="O3122" s="283" t="s">
        <v>1234</v>
      </c>
      <c r="P3122" s="283">
        <f>I3122</f>
        <v>866</v>
      </c>
      <c r="Q3122" s="374" t="s">
        <v>1398</v>
      </c>
      <c r="R3122" s="283">
        <f>M3122*P3122</f>
        <v>108.25</v>
      </c>
      <c r="S3122" s="283">
        <v>5</v>
      </c>
      <c r="T3122" s="283" t="s">
        <v>868</v>
      </c>
      <c r="U3122" s="374" t="s">
        <v>1980</v>
      </c>
      <c r="V3122" s="283">
        <f>P3161</f>
        <v>7.3</v>
      </c>
      <c r="W3122" s="744" t="s">
        <v>868</v>
      </c>
      <c r="X3122" s="283">
        <f t="shared" si="295"/>
        <v>36.5</v>
      </c>
    </row>
    <row r="3123" spans="6:24" ht="39" customHeight="1">
      <c r="F3123" s="746"/>
      <c r="H3123" s="283" t="s">
        <v>2271</v>
      </c>
      <c r="K3123" s="283">
        <v>2.11</v>
      </c>
      <c r="M3123" s="746"/>
      <c r="O3123" s="283" t="s">
        <v>2271</v>
      </c>
      <c r="Q3123" s="374"/>
      <c r="R3123" s="283">
        <v>4.37</v>
      </c>
      <c r="S3123" s="283">
        <v>10</v>
      </c>
      <c r="T3123" s="283" t="s">
        <v>868</v>
      </c>
      <c r="U3123" s="374" t="s">
        <v>1336</v>
      </c>
      <c r="V3123" s="283">
        <f>I3111</f>
        <v>2.41</v>
      </c>
      <c r="W3123" s="744" t="s">
        <v>868</v>
      </c>
      <c r="X3123" s="283">
        <f t="shared" si="295"/>
        <v>24.1</v>
      </c>
    </row>
    <row r="3124" spans="6:24" ht="39" customHeight="1">
      <c r="H3124" s="750" t="s">
        <v>516</v>
      </c>
      <c r="I3124" s="751"/>
      <c r="J3124" s="745"/>
      <c r="K3124" s="751">
        <f>SUM(K3120:K3123)</f>
        <v>303.54000000000002</v>
      </c>
      <c r="O3124" s="283" t="s">
        <v>2271</v>
      </c>
      <c r="P3124" s="751"/>
      <c r="Q3124" s="745"/>
      <c r="R3124" s="751">
        <f>SUM(R3120:R3123)</f>
        <v>138.32</v>
      </c>
      <c r="S3124" s="283"/>
      <c r="T3124" s="283">
        <f>R3124-90</f>
        <v>48.32</v>
      </c>
      <c r="U3124" s="374"/>
      <c r="W3124" s="744" t="s">
        <v>868</v>
      </c>
      <c r="X3124" s="748" t="s">
        <v>1586</v>
      </c>
    </row>
    <row r="3125" spans="6:24" ht="24" customHeight="1">
      <c r="R3125" s="283">
        <f>R3124-87</f>
        <v>51.32</v>
      </c>
      <c r="S3125" s="283"/>
      <c r="U3125" s="744" t="s">
        <v>3551</v>
      </c>
      <c r="W3125" s="744"/>
      <c r="X3125" s="283">
        <f>SUM(X3115:X3123)</f>
        <v>18427.89</v>
      </c>
    </row>
    <row r="3126" spans="6:24" ht="24" customHeight="1">
      <c r="S3126" s="283"/>
      <c r="W3126" s="744"/>
      <c r="X3126" s="748" t="s">
        <v>1586</v>
      </c>
    </row>
    <row r="3127" spans="6:24" ht="24" customHeight="1">
      <c r="F3127" s="744" t="s">
        <v>462</v>
      </c>
      <c r="G3127" s="283" t="s">
        <v>2251</v>
      </c>
      <c r="H3127" s="374" t="s">
        <v>2177</v>
      </c>
      <c r="S3127" s="283"/>
      <c r="T3127" s="283" t="s">
        <v>975</v>
      </c>
      <c r="U3127" s="757" t="s">
        <v>552</v>
      </c>
      <c r="W3127" s="744"/>
      <c r="X3127" s="751">
        <f>X3125/S3117</f>
        <v>3571.3</v>
      </c>
    </row>
    <row r="3128" spans="6:24" ht="24" customHeight="1">
      <c r="H3128" s="374" t="s">
        <v>2179</v>
      </c>
      <c r="S3128" s="283"/>
      <c r="W3128" s="744"/>
      <c r="X3128" s="748" t="s">
        <v>2055</v>
      </c>
    </row>
    <row r="3129" spans="6:24" ht="24" customHeight="1">
      <c r="H3129" s="374" t="s">
        <v>2180</v>
      </c>
      <c r="S3129" s="283"/>
      <c r="W3129" s="744"/>
    </row>
    <row r="3130" spans="6:24" ht="24" customHeight="1">
      <c r="H3130" s="374" t="s">
        <v>2181</v>
      </c>
      <c r="S3130" s="744"/>
      <c r="U3130" s="374" t="s">
        <v>3552</v>
      </c>
      <c r="W3130" s="744"/>
      <c r="X3130" s="374" t="s">
        <v>975</v>
      </c>
    </row>
    <row r="3131" spans="6:24" ht="24" customHeight="1">
      <c r="H3131" s="374" t="s">
        <v>2182</v>
      </c>
      <c r="S3131" s="283"/>
      <c r="U3131" s="748" t="s">
        <v>1586</v>
      </c>
      <c r="W3131" s="744"/>
    </row>
    <row r="3132" spans="6:24" ht="24" customHeight="1">
      <c r="H3132" s="374" t="s">
        <v>2183</v>
      </c>
      <c r="S3132" s="782">
        <v>2.7400000000000001E-2</v>
      </c>
      <c r="T3132" s="283" t="s">
        <v>869</v>
      </c>
      <c r="U3132" s="374" t="s">
        <v>3544</v>
      </c>
      <c r="V3132" s="283">
        <f>V3115</f>
        <v>99400</v>
      </c>
      <c r="W3132" s="744" t="s">
        <v>869</v>
      </c>
      <c r="X3132" s="283">
        <f>V3132*S3132</f>
        <v>2723.56</v>
      </c>
    </row>
    <row r="3133" spans="6:24" ht="24" customHeight="1">
      <c r="H3133" s="748" t="s">
        <v>1586</v>
      </c>
      <c r="S3133" s="782">
        <v>1.1599999999999999</v>
      </c>
      <c r="T3133" s="283" t="s">
        <v>609</v>
      </c>
      <c r="U3133" s="374" t="s">
        <v>3545</v>
      </c>
      <c r="V3133" s="283">
        <f t="shared" ref="V3133:V3140" si="296">V3116</f>
        <v>306.89999999999998</v>
      </c>
      <c r="W3133" s="744" t="s">
        <v>869</v>
      </c>
      <c r="X3133" s="283">
        <f t="shared" ref="X3133:X3140" si="297">V3133*S3133</f>
        <v>356</v>
      </c>
    </row>
    <row r="3134" spans="6:24" ht="24" customHeight="1">
      <c r="H3134" s="374" t="s">
        <v>1800</v>
      </c>
      <c r="M3134" s="744" t="s">
        <v>462</v>
      </c>
      <c r="N3134" s="283" t="s">
        <v>2251</v>
      </c>
      <c r="O3134" s="374" t="s">
        <v>2177</v>
      </c>
      <c r="Q3134" s="374"/>
      <c r="S3134" s="783">
        <v>1.74</v>
      </c>
      <c r="T3134" s="283" t="s">
        <v>609</v>
      </c>
      <c r="U3134" s="374" t="s">
        <v>2092</v>
      </c>
      <c r="V3134" s="283">
        <f t="shared" si="296"/>
        <v>1436</v>
      </c>
      <c r="W3134" s="744" t="s">
        <v>609</v>
      </c>
      <c r="X3134" s="283">
        <f t="shared" si="297"/>
        <v>2498.64</v>
      </c>
    </row>
    <row r="3135" spans="6:24" ht="24" customHeight="1">
      <c r="H3135" s="374" t="s">
        <v>2184</v>
      </c>
      <c r="O3135" s="374" t="s">
        <v>2179</v>
      </c>
      <c r="Q3135" s="374"/>
      <c r="S3135" s="783">
        <v>8.74</v>
      </c>
      <c r="T3135" s="283" t="s">
        <v>3550</v>
      </c>
      <c r="U3135" s="374" t="s">
        <v>3546</v>
      </c>
      <c r="V3135" s="283">
        <f t="shared" si="296"/>
        <v>15.45</v>
      </c>
      <c r="W3135" s="744" t="s">
        <v>609</v>
      </c>
      <c r="X3135" s="283">
        <f t="shared" si="297"/>
        <v>135.03</v>
      </c>
    </row>
    <row r="3136" spans="6:24" ht="24" customHeight="1">
      <c r="J3136" s="374" t="s">
        <v>1586</v>
      </c>
      <c r="O3136" s="374" t="s">
        <v>2180</v>
      </c>
      <c r="Q3136" s="374"/>
      <c r="S3136" s="283">
        <v>6</v>
      </c>
      <c r="T3136" s="283" t="s">
        <v>868</v>
      </c>
      <c r="U3136" s="374" t="s">
        <v>1517</v>
      </c>
      <c r="V3136" s="283">
        <f t="shared" si="296"/>
        <v>89.6</v>
      </c>
      <c r="W3136" s="744" t="s">
        <v>868</v>
      </c>
      <c r="X3136" s="283">
        <f t="shared" si="297"/>
        <v>537.6</v>
      </c>
    </row>
    <row r="3137" spans="6:24" ht="24" customHeight="1">
      <c r="H3137" s="374" t="s">
        <v>1257</v>
      </c>
      <c r="O3137" s="374" t="s">
        <v>2181</v>
      </c>
      <c r="Q3137" s="374"/>
      <c r="S3137" s="283">
        <v>4</v>
      </c>
      <c r="T3137" s="283" t="s">
        <v>868</v>
      </c>
      <c r="U3137" s="374" t="s">
        <v>3547</v>
      </c>
      <c r="V3137" s="283">
        <f t="shared" si="296"/>
        <v>82.25</v>
      </c>
      <c r="W3137" s="744" t="s">
        <v>868</v>
      </c>
      <c r="X3137" s="283">
        <f t="shared" si="297"/>
        <v>329</v>
      </c>
    </row>
    <row r="3138" spans="6:24" ht="24" customHeight="1">
      <c r="H3138" s="374" t="s">
        <v>975</v>
      </c>
      <c r="I3138" s="374" t="s">
        <v>975</v>
      </c>
      <c r="K3138" s="796" t="s">
        <v>975</v>
      </c>
      <c r="O3138" s="374" t="s">
        <v>2182</v>
      </c>
      <c r="Q3138" s="374"/>
      <c r="S3138" s="283">
        <v>2</v>
      </c>
      <c r="T3138" s="283" t="s">
        <v>868</v>
      </c>
      <c r="U3138" s="374" t="s">
        <v>3548</v>
      </c>
      <c r="V3138" s="283">
        <f t="shared" si="296"/>
        <v>57.65</v>
      </c>
      <c r="W3138" s="744" t="s">
        <v>868</v>
      </c>
      <c r="X3138" s="283">
        <f t="shared" si="297"/>
        <v>115.3</v>
      </c>
    </row>
    <row r="3139" spans="6:24" ht="24" customHeight="1">
      <c r="J3139" s="374" t="s">
        <v>975</v>
      </c>
      <c r="K3139" s="374" t="s">
        <v>975</v>
      </c>
      <c r="O3139" s="374" t="s">
        <v>2183</v>
      </c>
      <c r="Q3139" s="374"/>
      <c r="S3139" s="283">
        <v>2</v>
      </c>
      <c r="T3139" s="283" t="s">
        <v>868</v>
      </c>
      <c r="U3139" s="374" t="s">
        <v>1980</v>
      </c>
      <c r="V3139" s="283">
        <f t="shared" si="296"/>
        <v>7.3</v>
      </c>
      <c r="W3139" s="744" t="s">
        <v>868</v>
      </c>
      <c r="X3139" s="283">
        <f t="shared" si="297"/>
        <v>14.6</v>
      </c>
    </row>
    <row r="3140" spans="6:24" ht="24" customHeight="1">
      <c r="H3140" s="374" t="s">
        <v>3034</v>
      </c>
      <c r="J3140" s="796" t="s">
        <v>975</v>
      </c>
      <c r="K3140" s="796" t="s">
        <v>975</v>
      </c>
      <c r="O3140" s="750" t="s">
        <v>2436</v>
      </c>
      <c r="Q3140" s="374"/>
      <c r="S3140" s="283">
        <v>10</v>
      </c>
      <c r="T3140" s="283" t="s">
        <v>868</v>
      </c>
      <c r="U3140" s="374" t="s">
        <v>1336</v>
      </c>
      <c r="V3140" s="283">
        <f t="shared" si="296"/>
        <v>2.41</v>
      </c>
      <c r="W3140" s="744" t="s">
        <v>868</v>
      </c>
      <c r="X3140" s="283">
        <f t="shared" si="297"/>
        <v>24.1</v>
      </c>
    </row>
    <row r="3141" spans="6:24" ht="24" customHeight="1">
      <c r="H3141" s="374" t="s">
        <v>3035</v>
      </c>
      <c r="K3141" s="796">
        <v>1.26</v>
      </c>
      <c r="O3141" s="374" t="s">
        <v>2437</v>
      </c>
      <c r="P3141" s="783">
        <f>1.1*2.05</f>
        <v>2.2549999999999999</v>
      </c>
      <c r="Q3141" s="374" t="s">
        <v>233</v>
      </c>
      <c r="S3141" s="283"/>
      <c r="U3141" s="374"/>
      <c r="W3141" s="744" t="s">
        <v>868</v>
      </c>
      <c r="X3141" s="748" t="s">
        <v>1586</v>
      </c>
    </row>
    <row r="3142" spans="6:24" ht="24" customHeight="1">
      <c r="K3142" s="374" t="s">
        <v>975</v>
      </c>
      <c r="O3142" s="374" t="s">
        <v>3791</v>
      </c>
      <c r="P3142" s="782">
        <f>2*2.05*0.075*0.0375</f>
        <v>1.153E-2</v>
      </c>
      <c r="Q3142" s="374" t="s">
        <v>1341</v>
      </c>
      <c r="S3142" s="283"/>
      <c r="U3142" s="744" t="s">
        <v>3553</v>
      </c>
      <c r="W3142" s="744"/>
      <c r="X3142" s="283">
        <f>SUM(X3132:X3140)</f>
        <v>6733.83</v>
      </c>
    </row>
    <row r="3143" spans="6:24" ht="24" customHeight="1">
      <c r="K3143" s="796" t="s">
        <v>975</v>
      </c>
      <c r="Q3143" s="374" t="s">
        <v>1586</v>
      </c>
      <c r="S3143" s="283"/>
      <c r="W3143" s="744"/>
      <c r="X3143" s="748" t="s">
        <v>1586</v>
      </c>
    </row>
    <row r="3144" spans="6:24" ht="24" customHeight="1">
      <c r="K3144" s="374" t="s">
        <v>975</v>
      </c>
      <c r="O3144" s="374" t="s">
        <v>3792</v>
      </c>
      <c r="P3144" s="782">
        <f>1*3*1.1*0.15*0.0375</f>
        <v>1.856E-2</v>
      </c>
      <c r="Q3144" s="374" t="s">
        <v>1341</v>
      </c>
      <c r="S3144" s="283"/>
      <c r="T3144" s="283" t="s">
        <v>975</v>
      </c>
      <c r="U3144" s="757" t="s">
        <v>552</v>
      </c>
      <c r="W3144" s="744"/>
      <c r="X3144" s="751">
        <f>X3142/S3134</f>
        <v>3870.02</v>
      </c>
    </row>
    <row r="3145" spans="6:24" ht="24" customHeight="1">
      <c r="F3145" s="744" t="s">
        <v>1473</v>
      </c>
      <c r="H3145" s="374" t="s">
        <v>1814</v>
      </c>
      <c r="K3145" s="374" t="s">
        <v>975</v>
      </c>
      <c r="O3145" s="374" t="s">
        <v>975</v>
      </c>
      <c r="P3145" s="374" t="s">
        <v>975</v>
      </c>
      <c r="Q3145" s="374"/>
      <c r="R3145" s="796" t="s">
        <v>975</v>
      </c>
      <c r="S3145" s="283"/>
      <c r="W3145" s="744"/>
      <c r="X3145" s="748" t="s">
        <v>2055</v>
      </c>
    </row>
    <row r="3146" spans="6:24" ht="24" customHeight="1">
      <c r="H3146" s="748" t="s">
        <v>1586</v>
      </c>
      <c r="Q3146" s="374" t="s">
        <v>975</v>
      </c>
      <c r="R3146" s="374" t="s">
        <v>975</v>
      </c>
      <c r="W3146" s="744"/>
    </row>
    <row r="3147" spans="6:24" ht="24" customHeight="1">
      <c r="F3147" s="782">
        <v>1.153E-2</v>
      </c>
      <c r="G3147" s="283" t="s">
        <v>869</v>
      </c>
      <c r="H3147" s="374" t="s">
        <v>692</v>
      </c>
      <c r="I3147" s="283">
        <f>AC26</f>
        <v>111600</v>
      </c>
      <c r="J3147" s="374" t="s">
        <v>869</v>
      </c>
      <c r="K3147" s="283">
        <f>I3147*F3147</f>
        <v>1286.75</v>
      </c>
      <c r="O3147" s="374" t="s">
        <v>3793</v>
      </c>
      <c r="P3147" s="283">
        <f>1*0.625*0.975</f>
        <v>0.61</v>
      </c>
      <c r="Q3147" s="796" t="s">
        <v>975</v>
      </c>
      <c r="R3147" s="796" t="s">
        <v>975</v>
      </c>
      <c r="W3147" s="744"/>
    </row>
    <row r="3148" spans="6:24" ht="24" customHeight="1">
      <c r="F3148" s="783">
        <v>1.52E-2</v>
      </c>
      <c r="G3148" s="283" t="s">
        <v>869</v>
      </c>
      <c r="H3148" s="374" t="s">
        <v>693</v>
      </c>
      <c r="I3148" s="283">
        <f>AC27</f>
        <v>99400</v>
      </c>
      <c r="J3148" s="374" t="s">
        <v>869</v>
      </c>
      <c r="K3148" s="283">
        <f t="shared" ref="K3148:K3156" si="298">I3148*F3148</f>
        <v>1510.88</v>
      </c>
      <c r="O3148" s="374" t="s">
        <v>2439</v>
      </c>
      <c r="P3148" s="283">
        <f>1*0.975*1.025</f>
        <v>1</v>
      </c>
      <c r="Q3148" s="374"/>
      <c r="R3148" s="796">
        <v>1.26</v>
      </c>
      <c r="U3148" s="745" t="s">
        <v>4330</v>
      </c>
      <c r="W3148" s="744"/>
    </row>
    <row r="3149" spans="6:24" ht="24" customHeight="1">
      <c r="F3149" s="783">
        <f>K3141</f>
        <v>1.26</v>
      </c>
      <c r="G3149" s="283" t="s">
        <v>609</v>
      </c>
      <c r="H3149" s="374" t="s">
        <v>2091</v>
      </c>
      <c r="I3149" s="283">
        <f>C784</f>
        <v>387.4</v>
      </c>
      <c r="J3149" s="374" t="s">
        <v>609</v>
      </c>
      <c r="K3149" s="283">
        <f t="shared" si="298"/>
        <v>488.12</v>
      </c>
      <c r="P3149" s="751">
        <f>SUM(P3147:P3148)</f>
        <v>1.61</v>
      </c>
      <c r="Q3149" s="374" t="s">
        <v>233</v>
      </c>
      <c r="R3149" s="374" t="s">
        <v>975</v>
      </c>
      <c r="S3149" s="1005" t="s">
        <v>4331</v>
      </c>
      <c r="T3149" s="1005"/>
      <c r="U3149" s="746">
        <f>2*2*0.075*0.0375*1.95</f>
        <v>2.1999999999999999E-2</v>
      </c>
      <c r="W3149" s="744"/>
    </row>
    <row r="3150" spans="6:24" ht="24" customHeight="1">
      <c r="F3150" s="783">
        <v>1.845</v>
      </c>
      <c r="G3150" s="283" t="s">
        <v>609</v>
      </c>
      <c r="H3150" s="374" t="s">
        <v>2092</v>
      </c>
      <c r="I3150" s="283">
        <f>D30</f>
        <v>1281</v>
      </c>
      <c r="J3150" s="374" t="s">
        <v>609</v>
      </c>
      <c r="K3150" s="283">
        <f t="shared" si="298"/>
        <v>2363.4499999999998</v>
      </c>
      <c r="Q3150" s="374"/>
      <c r="R3150" s="796" t="s">
        <v>975</v>
      </c>
      <c r="S3150" s="746" t="s">
        <v>4332</v>
      </c>
      <c r="U3150" s="782">
        <f>2*2*0.065*0.075*0.375</f>
        <v>7.3099999999999997E-3</v>
      </c>
      <c r="W3150" s="744"/>
    </row>
    <row r="3151" spans="6:24" ht="24" customHeight="1">
      <c r="F3151" s="283">
        <v>2</v>
      </c>
      <c r="G3151" s="283" t="s">
        <v>868</v>
      </c>
      <c r="H3151" s="374" t="s">
        <v>2093</v>
      </c>
      <c r="I3151" s="283">
        <f>C285</f>
        <v>64.8</v>
      </c>
      <c r="J3151" s="374" t="s">
        <v>868</v>
      </c>
      <c r="K3151" s="283">
        <f t="shared" si="298"/>
        <v>129.6</v>
      </c>
      <c r="Q3151" s="374"/>
      <c r="R3151" s="374" t="s">
        <v>975</v>
      </c>
      <c r="U3151" s="846">
        <f>SUM(U3149:U3150)</f>
        <v>2.93E-2</v>
      </c>
      <c r="V3151" s="283" t="s">
        <v>4333</v>
      </c>
      <c r="W3151" s="744"/>
    </row>
    <row r="3152" spans="6:24" ht="24" customHeight="1">
      <c r="F3152" s="283">
        <v>3</v>
      </c>
      <c r="G3152" s="283" t="s">
        <v>868</v>
      </c>
      <c r="H3152" s="374" t="s">
        <v>1517</v>
      </c>
      <c r="I3152" s="283">
        <f>C280</f>
        <v>89.6</v>
      </c>
      <c r="J3152" s="374" t="s">
        <v>868</v>
      </c>
      <c r="K3152" s="283">
        <f t="shared" si="298"/>
        <v>268.8</v>
      </c>
      <c r="M3152" s="744" t="s">
        <v>1473</v>
      </c>
      <c r="O3152" s="374" t="s">
        <v>2440</v>
      </c>
      <c r="Q3152" s="374"/>
      <c r="R3152" s="374" t="s">
        <v>975</v>
      </c>
      <c r="S3152" s="746" t="s">
        <v>4334</v>
      </c>
      <c r="U3152" s="746">
        <f>2*0.65*1.95</f>
        <v>2.5350000000000001</v>
      </c>
      <c r="V3152" s="283" t="s">
        <v>915</v>
      </c>
      <c r="W3152" s="744"/>
    </row>
    <row r="3153" spans="6:24" ht="24" customHeight="1">
      <c r="F3153" s="283">
        <v>1</v>
      </c>
      <c r="G3153" s="283" t="s">
        <v>868</v>
      </c>
      <c r="H3153" s="374" t="s">
        <v>1979</v>
      </c>
      <c r="I3153" s="283">
        <f>C287</f>
        <v>181</v>
      </c>
      <c r="J3153" s="374" t="s">
        <v>868</v>
      </c>
      <c r="K3153" s="283">
        <f t="shared" si="298"/>
        <v>181</v>
      </c>
      <c r="O3153" s="748" t="s">
        <v>1586</v>
      </c>
      <c r="Q3153" s="374"/>
      <c r="S3153" s="746" t="s">
        <v>4335</v>
      </c>
      <c r="U3153" s="746">
        <f>1*2*0.525*1.825</f>
        <v>1.9159999999999999</v>
      </c>
      <c r="V3153" s="283" t="s">
        <v>4336</v>
      </c>
      <c r="W3153" s="744"/>
    </row>
    <row r="3154" spans="6:24" ht="24" customHeight="1">
      <c r="F3154" s="283">
        <v>1</v>
      </c>
      <c r="G3154" s="283" t="s">
        <v>868</v>
      </c>
      <c r="H3154" s="374" t="s">
        <v>1980</v>
      </c>
      <c r="I3154" s="283">
        <f>C289</f>
        <v>7.3</v>
      </c>
      <c r="J3154" s="374" t="s">
        <v>868</v>
      </c>
      <c r="K3154" s="283">
        <f t="shared" si="298"/>
        <v>7.3</v>
      </c>
      <c r="M3154" s="782">
        <f>P3142</f>
        <v>1.153E-2</v>
      </c>
      <c r="N3154" s="283" t="s">
        <v>869</v>
      </c>
      <c r="O3154" s="374" t="s">
        <v>692</v>
      </c>
      <c r="P3154" s="283">
        <f>I3147</f>
        <v>111600</v>
      </c>
      <c r="Q3154" s="374" t="s">
        <v>869</v>
      </c>
      <c r="R3154" s="283">
        <f>P3154*M3154</f>
        <v>1286.75</v>
      </c>
      <c r="S3154" s="746" t="s">
        <v>4337</v>
      </c>
      <c r="U3154" s="746">
        <f>2*2*(0.525+1.825)</f>
        <v>9.4</v>
      </c>
      <c r="V3154" s="283" t="s">
        <v>4338</v>
      </c>
      <c r="W3154" s="744"/>
    </row>
    <row r="3155" spans="6:24" ht="24" customHeight="1">
      <c r="F3155" s="283">
        <v>1</v>
      </c>
      <c r="G3155" s="283" t="s">
        <v>868</v>
      </c>
      <c r="H3155" s="374" t="s">
        <v>1981</v>
      </c>
      <c r="I3155" s="283">
        <f>C599</f>
        <v>57.65</v>
      </c>
      <c r="J3155" s="374" t="s">
        <v>868</v>
      </c>
      <c r="K3155" s="283">
        <f t="shared" si="298"/>
        <v>57.65</v>
      </c>
      <c r="M3155" s="782">
        <f>P3144</f>
        <v>1.856E-2</v>
      </c>
      <c r="N3155" s="283" t="s">
        <v>869</v>
      </c>
      <c r="O3155" s="374" t="s">
        <v>693</v>
      </c>
      <c r="P3155" s="283">
        <f t="shared" ref="P3155:P3163" si="299">I3148</f>
        <v>99400</v>
      </c>
      <c r="Q3155" s="374" t="s">
        <v>869</v>
      </c>
      <c r="R3155" s="283">
        <f t="shared" ref="R3155:R3164" si="300">P3155*M3155</f>
        <v>1844.86</v>
      </c>
      <c r="S3155" s="744"/>
      <c r="W3155" s="744"/>
      <c r="X3155" s="374" t="s">
        <v>975</v>
      </c>
    </row>
    <row r="3156" spans="6:24" ht="24" customHeight="1">
      <c r="F3156" s="283">
        <v>1</v>
      </c>
      <c r="G3156" s="283" t="s">
        <v>868</v>
      </c>
      <c r="H3156" s="374" t="s">
        <v>1982</v>
      </c>
      <c r="I3156" s="283">
        <f>D599</f>
        <v>49.55</v>
      </c>
      <c r="J3156" s="374" t="s">
        <v>868</v>
      </c>
      <c r="K3156" s="283">
        <f t="shared" si="298"/>
        <v>49.55</v>
      </c>
      <c r="M3156" s="783">
        <f>P3149</f>
        <v>1.61</v>
      </c>
      <c r="N3156" s="283" t="s">
        <v>609</v>
      </c>
      <c r="O3156" s="374" t="s">
        <v>2091</v>
      </c>
      <c r="P3156" s="283">
        <f t="shared" si="299"/>
        <v>387.4</v>
      </c>
      <c r="Q3156" s="374" t="s">
        <v>609</v>
      </c>
      <c r="R3156" s="283">
        <f t="shared" si="300"/>
        <v>623.71</v>
      </c>
      <c r="S3156" s="283"/>
      <c r="U3156" s="748" t="s">
        <v>1586</v>
      </c>
      <c r="W3156" s="744"/>
    </row>
    <row r="3157" spans="6:24" ht="24" customHeight="1">
      <c r="H3157" s="283" t="s">
        <v>1336</v>
      </c>
      <c r="K3157" s="784">
        <f>10*2.18</f>
        <v>21.8</v>
      </c>
      <c r="M3157" s="783">
        <f>P3141</f>
        <v>2.2549999999999999</v>
      </c>
      <c r="N3157" s="283" t="s">
        <v>609</v>
      </c>
      <c r="O3157" s="374" t="s">
        <v>2092</v>
      </c>
      <c r="P3157" s="283">
        <f t="shared" si="299"/>
        <v>1281</v>
      </c>
      <c r="Q3157" s="374" t="s">
        <v>609</v>
      </c>
      <c r="R3157" s="283">
        <f t="shared" si="300"/>
        <v>2888.66</v>
      </c>
      <c r="S3157" s="782">
        <v>9.2099999999999994E-3</v>
      </c>
      <c r="T3157" s="283" t="s">
        <v>869</v>
      </c>
      <c r="U3157" s="374" t="s">
        <v>3544</v>
      </c>
      <c r="V3157" s="283">
        <f>V3132</f>
        <v>99400</v>
      </c>
      <c r="W3157" s="744" t="s">
        <v>869</v>
      </c>
      <c r="X3157" s="283">
        <f>V3157*S3157</f>
        <v>915.47</v>
      </c>
    </row>
    <row r="3158" spans="6:24" ht="24" customHeight="1">
      <c r="H3158" s="744" t="s">
        <v>457</v>
      </c>
      <c r="K3158" s="283">
        <f>SUM(K3147:K3157)</f>
        <v>6364.9</v>
      </c>
      <c r="M3158" s="283">
        <v>2</v>
      </c>
      <c r="N3158" s="283" t="s">
        <v>868</v>
      </c>
      <c r="O3158" s="374" t="s">
        <v>2093</v>
      </c>
      <c r="P3158" s="283">
        <f t="shared" si="299"/>
        <v>64.8</v>
      </c>
      <c r="Q3158" s="374" t="s">
        <v>868</v>
      </c>
      <c r="R3158" s="283">
        <f t="shared" si="300"/>
        <v>129.6</v>
      </c>
      <c r="S3158" s="782">
        <v>0.65249999999999997</v>
      </c>
      <c r="T3158" s="283" t="s">
        <v>609</v>
      </c>
      <c r="U3158" s="374" t="s">
        <v>3545</v>
      </c>
      <c r="V3158" s="283">
        <f>V3133</f>
        <v>306.89999999999998</v>
      </c>
      <c r="W3158" s="744" t="s">
        <v>869</v>
      </c>
      <c r="X3158" s="283">
        <f t="shared" ref="X3158:X3165" si="301">V3158*S3158</f>
        <v>200.25</v>
      </c>
    </row>
    <row r="3159" spans="6:24" ht="24" customHeight="1">
      <c r="G3159" s="283" t="s">
        <v>975</v>
      </c>
      <c r="K3159" s="748" t="s">
        <v>1586</v>
      </c>
      <c r="M3159" s="283">
        <v>3</v>
      </c>
      <c r="N3159" s="283" t="s">
        <v>868</v>
      </c>
      <c r="O3159" s="374" t="s">
        <v>1517</v>
      </c>
      <c r="P3159" s="283">
        <f t="shared" si="299"/>
        <v>89.6</v>
      </c>
      <c r="Q3159" s="374" t="s">
        <v>868</v>
      </c>
      <c r="R3159" s="283">
        <f t="shared" si="300"/>
        <v>268.8</v>
      </c>
      <c r="S3159" s="783">
        <v>0.879</v>
      </c>
      <c r="T3159" s="283" t="s">
        <v>609</v>
      </c>
      <c r="U3159" s="374" t="s">
        <v>2092</v>
      </c>
      <c r="V3159" s="283">
        <f t="shared" ref="V3159:V3164" si="302">V3134</f>
        <v>1436</v>
      </c>
      <c r="W3159" s="744" t="s">
        <v>609</v>
      </c>
      <c r="X3159" s="283">
        <f t="shared" si="301"/>
        <v>1262.24</v>
      </c>
    </row>
    <row r="3160" spans="6:24" ht="24" customHeight="1">
      <c r="H3160" s="757" t="s">
        <v>552</v>
      </c>
      <c r="K3160" s="751">
        <f>K3158/F3150</f>
        <v>3449.81</v>
      </c>
      <c r="M3160" s="283">
        <v>1</v>
      </c>
      <c r="N3160" s="283" t="s">
        <v>868</v>
      </c>
      <c r="O3160" s="374" t="s">
        <v>1979</v>
      </c>
      <c r="P3160" s="283">
        <f t="shared" si="299"/>
        <v>181</v>
      </c>
      <c r="Q3160" s="374" t="s">
        <v>868</v>
      </c>
      <c r="R3160" s="283">
        <f t="shared" si="300"/>
        <v>181</v>
      </c>
      <c r="S3160" s="783">
        <v>4.3250000000000002</v>
      </c>
      <c r="T3160" s="283" t="s">
        <v>3550</v>
      </c>
      <c r="U3160" s="374" t="s">
        <v>3546</v>
      </c>
      <c r="V3160" s="283">
        <f t="shared" si="302"/>
        <v>15.45</v>
      </c>
      <c r="W3160" s="744" t="s">
        <v>609</v>
      </c>
      <c r="X3160" s="283">
        <f t="shared" si="301"/>
        <v>66.819999999999993</v>
      </c>
    </row>
    <row r="3161" spans="6:24" ht="24" customHeight="1">
      <c r="K3161" s="748" t="s">
        <v>2055</v>
      </c>
      <c r="M3161" s="283">
        <v>1</v>
      </c>
      <c r="N3161" s="283" t="s">
        <v>868</v>
      </c>
      <c r="O3161" s="374" t="s">
        <v>1980</v>
      </c>
      <c r="P3161" s="283">
        <f t="shared" si="299"/>
        <v>7.3</v>
      </c>
      <c r="Q3161" s="374" t="s">
        <v>868</v>
      </c>
      <c r="R3161" s="283">
        <f t="shared" si="300"/>
        <v>7.3</v>
      </c>
      <c r="S3161" s="283">
        <v>3</v>
      </c>
      <c r="T3161" s="283" t="s">
        <v>868</v>
      </c>
      <c r="U3161" s="374" t="s">
        <v>1517</v>
      </c>
      <c r="V3161" s="283">
        <f t="shared" si="302"/>
        <v>89.6</v>
      </c>
      <c r="W3161" s="744" t="s">
        <v>868</v>
      </c>
      <c r="X3161" s="283">
        <f t="shared" si="301"/>
        <v>268.8</v>
      </c>
    </row>
    <row r="3162" spans="6:24" ht="24" customHeight="1">
      <c r="M3162" s="283">
        <v>1</v>
      </c>
      <c r="N3162" s="283" t="s">
        <v>868</v>
      </c>
      <c r="O3162" s="374" t="s">
        <v>1981</v>
      </c>
      <c r="P3162" s="283">
        <f t="shared" si="299"/>
        <v>57.65</v>
      </c>
      <c r="Q3162" s="374" t="s">
        <v>868</v>
      </c>
      <c r="R3162" s="283">
        <f t="shared" si="300"/>
        <v>57.65</v>
      </c>
      <c r="S3162" s="283">
        <v>2</v>
      </c>
      <c r="T3162" s="283" t="s">
        <v>868</v>
      </c>
      <c r="U3162" s="374" t="s">
        <v>3547</v>
      </c>
      <c r="V3162" s="283">
        <f t="shared" si="302"/>
        <v>82.25</v>
      </c>
      <c r="W3162" s="744" t="s">
        <v>868</v>
      </c>
      <c r="X3162" s="283">
        <f t="shared" si="301"/>
        <v>164.5</v>
      </c>
    </row>
    <row r="3163" spans="6:24" ht="24" customHeight="1">
      <c r="M3163" s="283">
        <v>1</v>
      </c>
      <c r="N3163" s="283" t="s">
        <v>868</v>
      </c>
      <c r="O3163" s="374" t="s">
        <v>1982</v>
      </c>
      <c r="P3163" s="283">
        <f t="shared" si="299"/>
        <v>49.55</v>
      </c>
      <c r="Q3163" s="374" t="s">
        <v>868</v>
      </c>
      <c r="R3163" s="283">
        <f t="shared" si="300"/>
        <v>49.55</v>
      </c>
      <c r="S3163" s="283">
        <v>1</v>
      </c>
      <c r="T3163" s="283" t="s">
        <v>868</v>
      </c>
      <c r="U3163" s="374" t="s">
        <v>3548</v>
      </c>
      <c r="V3163" s="283">
        <f t="shared" si="302"/>
        <v>57.65</v>
      </c>
      <c r="W3163" s="744" t="s">
        <v>868</v>
      </c>
      <c r="X3163" s="283">
        <f t="shared" si="301"/>
        <v>57.65</v>
      </c>
    </row>
    <row r="3164" spans="6:24" ht="24" customHeight="1">
      <c r="M3164" s="283">
        <v>58</v>
      </c>
      <c r="O3164" s="283" t="s">
        <v>1336</v>
      </c>
      <c r="P3164" s="283">
        <f>P2865</f>
        <v>2.41</v>
      </c>
      <c r="Q3164" s="374"/>
      <c r="R3164" s="283">
        <f t="shared" si="300"/>
        <v>139.78</v>
      </c>
      <c r="S3164" s="283">
        <v>1</v>
      </c>
      <c r="T3164" s="283" t="s">
        <v>868</v>
      </c>
      <c r="U3164" s="374" t="s">
        <v>1980</v>
      </c>
      <c r="V3164" s="283">
        <f t="shared" si="302"/>
        <v>7.3</v>
      </c>
      <c r="W3164" s="744" t="s">
        <v>868</v>
      </c>
      <c r="X3164" s="283">
        <f t="shared" si="301"/>
        <v>7.3</v>
      </c>
    </row>
    <row r="3165" spans="6:24" ht="24" customHeight="1">
      <c r="O3165" s="744" t="s">
        <v>3394</v>
      </c>
      <c r="Q3165" s="374"/>
      <c r="R3165" s="283">
        <f>SUM(R3154:R3164)</f>
        <v>7477.66</v>
      </c>
      <c r="S3165" s="283">
        <v>36</v>
      </c>
      <c r="T3165" s="283" t="s">
        <v>868</v>
      </c>
      <c r="U3165" s="374" t="s">
        <v>1336</v>
      </c>
      <c r="V3165" s="283">
        <f>V3140</f>
        <v>2.41</v>
      </c>
      <c r="W3165" s="744" t="s">
        <v>868</v>
      </c>
      <c r="X3165" s="283">
        <f t="shared" si="301"/>
        <v>86.76</v>
      </c>
    </row>
    <row r="3166" spans="6:24" ht="24" customHeight="1">
      <c r="N3166" s="283" t="s">
        <v>975</v>
      </c>
      <c r="Q3166" s="374"/>
      <c r="R3166" s="748" t="s">
        <v>1586</v>
      </c>
      <c r="S3166" s="283"/>
      <c r="U3166" s="374"/>
      <c r="W3166" s="744" t="s">
        <v>868</v>
      </c>
      <c r="X3166" s="748" t="s">
        <v>1586</v>
      </c>
    </row>
    <row r="3167" spans="6:24" ht="24" customHeight="1">
      <c r="H3167" s="283" t="s">
        <v>4244</v>
      </c>
      <c r="J3167" s="283"/>
      <c r="O3167" s="757" t="s">
        <v>552</v>
      </c>
      <c r="Q3167" s="374"/>
      <c r="R3167" s="751">
        <f>R3165/M3157</f>
        <v>3316.04</v>
      </c>
      <c r="S3167" s="283"/>
      <c r="U3167" s="757" t="s">
        <v>4339</v>
      </c>
      <c r="W3167" s="744"/>
      <c r="X3167" s="283">
        <f>SUM(X3157:X3165)</f>
        <v>3029.79</v>
      </c>
    </row>
    <row r="3168" spans="6:24" ht="24" customHeight="1">
      <c r="J3168" s="283"/>
      <c r="Q3168" s="374"/>
      <c r="R3168" s="748" t="s">
        <v>2055</v>
      </c>
      <c r="S3168" s="283"/>
      <c r="W3168" s="744"/>
      <c r="X3168" s="748" t="s">
        <v>1586</v>
      </c>
    </row>
    <row r="3169" spans="6:24" ht="24" customHeight="1">
      <c r="F3169" s="283">
        <v>3.23</v>
      </c>
      <c r="G3169" s="283" t="s">
        <v>913</v>
      </c>
      <c r="H3169" s="283" t="s">
        <v>3036</v>
      </c>
      <c r="I3169" s="283">
        <f>I1506</f>
        <v>49.85</v>
      </c>
      <c r="J3169" s="283" t="s">
        <v>913</v>
      </c>
      <c r="K3169" s="283">
        <f>I3169*F3169</f>
        <v>161.02000000000001</v>
      </c>
      <c r="S3169" s="283"/>
      <c r="T3169" s="283" t="s">
        <v>975</v>
      </c>
      <c r="U3169" s="757" t="s">
        <v>552</v>
      </c>
      <c r="W3169" s="744"/>
      <c r="X3169" s="751">
        <f>X3167/S3159</f>
        <v>3446.86</v>
      </c>
    </row>
    <row r="3170" spans="6:24" ht="24" customHeight="1">
      <c r="F3170" s="283">
        <v>0.5</v>
      </c>
      <c r="G3170" s="283" t="s">
        <v>258</v>
      </c>
      <c r="H3170" s="283" t="s">
        <v>3037</v>
      </c>
      <c r="I3170" s="283">
        <f>I1507</f>
        <v>797</v>
      </c>
      <c r="J3170" s="283" t="s">
        <v>258</v>
      </c>
      <c r="K3170" s="283">
        <f>I3170*F3170</f>
        <v>398.5</v>
      </c>
      <c r="S3170" s="283"/>
      <c r="W3170" s="744"/>
      <c r="X3170" s="748" t="s">
        <v>2055</v>
      </c>
    </row>
    <row r="3171" spans="6:24" ht="24" customHeight="1">
      <c r="F3171" s="283">
        <v>0.5</v>
      </c>
      <c r="G3171" s="283" t="s">
        <v>258</v>
      </c>
      <c r="H3171" s="374" t="s">
        <v>1902</v>
      </c>
      <c r="I3171" s="283">
        <f>I1508</f>
        <v>651</v>
      </c>
      <c r="J3171" s="283" t="s">
        <v>258</v>
      </c>
      <c r="K3171" s="283">
        <f>I3171*F3171</f>
        <v>325.5</v>
      </c>
      <c r="M3171" s="744"/>
      <c r="N3171" s="283" t="s">
        <v>2251</v>
      </c>
      <c r="O3171" s="374" t="s">
        <v>2815</v>
      </c>
      <c r="Q3171" s="744"/>
      <c r="W3171" s="744"/>
    </row>
    <row r="3172" spans="6:24" ht="24" customHeight="1">
      <c r="F3172" s="283">
        <v>0.8</v>
      </c>
      <c r="G3172" s="283" t="s">
        <v>258</v>
      </c>
      <c r="H3172" s="374" t="s">
        <v>320</v>
      </c>
      <c r="I3172" s="283">
        <f>I1509</f>
        <v>534</v>
      </c>
      <c r="J3172" s="283" t="s">
        <v>258</v>
      </c>
      <c r="K3172" s="283">
        <f>I3172*F3172</f>
        <v>427.2</v>
      </c>
      <c r="O3172" s="374" t="s">
        <v>256</v>
      </c>
      <c r="Q3172" s="744"/>
      <c r="W3172" s="744"/>
    </row>
    <row r="3173" spans="6:24" ht="24" customHeight="1">
      <c r="F3173" s="283">
        <v>10</v>
      </c>
      <c r="G3173" s="283" t="s">
        <v>2283</v>
      </c>
      <c r="H3173" s="374" t="s">
        <v>3866</v>
      </c>
      <c r="I3173" s="283">
        <f>C461</f>
        <v>0</v>
      </c>
      <c r="J3173" s="283" t="s">
        <v>2283</v>
      </c>
      <c r="K3173" s="283">
        <f>I3173*F3173</f>
        <v>0</v>
      </c>
      <c r="O3173" s="833" t="s">
        <v>2816</v>
      </c>
      <c r="Q3173" s="744"/>
      <c r="W3173" s="744"/>
    </row>
    <row r="3174" spans="6:24" ht="24" customHeight="1">
      <c r="H3174" s="374" t="s">
        <v>3039</v>
      </c>
      <c r="I3174" s="784" t="s">
        <v>657</v>
      </c>
      <c r="J3174" s="744"/>
      <c r="K3174" s="283">
        <v>1.75</v>
      </c>
      <c r="O3174" s="748" t="s">
        <v>1586</v>
      </c>
      <c r="Q3174" s="744"/>
      <c r="W3174" s="744"/>
    </row>
    <row r="3175" spans="6:24" ht="24" customHeight="1">
      <c r="J3175" s="744"/>
      <c r="K3175" s="283">
        <f>SUM(K3169:K3174)</f>
        <v>1313.97</v>
      </c>
      <c r="O3175" s="374" t="s">
        <v>3258</v>
      </c>
      <c r="P3175" s="784" t="s">
        <v>2055</v>
      </c>
      <c r="Q3175" s="803">
        <v>3.1219999999999999</v>
      </c>
      <c r="R3175" s="283" t="s">
        <v>2283</v>
      </c>
      <c r="W3175" s="744"/>
    </row>
    <row r="3176" spans="6:24" ht="24" customHeight="1">
      <c r="J3176" s="744"/>
      <c r="K3176" s="283">
        <f>K3175/10</f>
        <v>131.4</v>
      </c>
      <c r="O3176" s="374"/>
      <c r="P3176" s="784"/>
      <c r="Q3176" s="803"/>
      <c r="W3176" s="744"/>
    </row>
    <row r="3177" spans="6:24" ht="24" customHeight="1">
      <c r="J3177" s="283"/>
      <c r="L3177" s="283">
        <f>K3211</f>
        <v>317.74</v>
      </c>
      <c r="O3177" s="374" t="s">
        <v>6134</v>
      </c>
      <c r="P3177" s="784" t="s">
        <v>2055</v>
      </c>
      <c r="Q3177" s="847">
        <v>5.1999999999999998E-2</v>
      </c>
      <c r="R3177" s="283" t="s">
        <v>2151</v>
      </c>
      <c r="W3177" s="744"/>
    </row>
    <row r="3178" spans="6:24" ht="24" customHeight="1">
      <c r="J3178" s="283"/>
      <c r="L3178" s="283">
        <f>K3212</f>
        <v>557.9</v>
      </c>
      <c r="O3178" s="374" t="s">
        <v>3259</v>
      </c>
      <c r="Q3178" s="784"/>
      <c r="W3178" s="744"/>
    </row>
    <row r="3179" spans="6:24" ht="24" customHeight="1">
      <c r="J3179" s="283"/>
      <c r="O3179" s="374" t="s">
        <v>3260</v>
      </c>
      <c r="P3179" s="784" t="s">
        <v>2055</v>
      </c>
      <c r="Q3179" s="871">
        <v>2.2780000000000002E-2</v>
      </c>
      <c r="W3179" s="744"/>
    </row>
    <row r="3180" spans="6:24" ht="24" customHeight="1">
      <c r="H3180" s="283" t="s">
        <v>4245</v>
      </c>
      <c r="J3180" s="283"/>
      <c r="L3180" s="283">
        <v>1.5</v>
      </c>
      <c r="O3180" s="374" t="s">
        <v>2817</v>
      </c>
      <c r="P3180" s="784" t="s">
        <v>2055</v>
      </c>
      <c r="Q3180" s="871">
        <v>1.013E-2</v>
      </c>
      <c r="R3180" s="782"/>
      <c r="W3180" s="744"/>
    </row>
    <row r="3181" spans="6:24" ht="24" customHeight="1">
      <c r="J3181" s="283"/>
      <c r="L3181" s="283">
        <f>SUM(L3177:L3180)</f>
        <v>877.14</v>
      </c>
      <c r="Q3181" s="748" t="s">
        <v>1586</v>
      </c>
      <c r="W3181" s="744"/>
    </row>
    <row r="3182" spans="6:24" ht="24" customHeight="1">
      <c r="F3182" s="283">
        <v>1.8</v>
      </c>
      <c r="G3182" s="283" t="s">
        <v>913</v>
      </c>
      <c r="H3182" s="283" t="s">
        <v>3036</v>
      </c>
      <c r="I3182" s="283">
        <f>I3169</f>
        <v>49.85</v>
      </c>
      <c r="J3182" s="283" t="s">
        <v>913</v>
      </c>
      <c r="K3182" s="283">
        <f>I3182*F3182</f>
        <v>89.73</v>
      </c>
      <c r="Q3182" s="872">
        <v>3.2910000000000002E-2</v>
      </c>
      <c r="R3182" s="283" t="s">
        <v>2151</v>
      </c>
      <c r="W3182" s="744"/>
    </row>
    <row r="3183" spans="6:24" ht="24" customHeight="1">
      <c r="F3183" s="283">
        <v>0.25</v>
      </c>
      <c r="G3183" s="283" t="s">
        <v>258</v>
      </c>
      <c r="H3183" s="283" t="s">
        <v>3037</v>
      </c>
      <c r="I3183" s="283">
        <f>I3170</f>
        <v>797</v>
      </c>
      <c r="J3183" s="283" t="s">
        <v>258</v>
      </c>
      <c r="K3183" s="283">
        <f>I3183*F3183</f>
        <v>199.25</v>
      </c>
      <c r="L3183" s="283">
        <f>L3181/10</f>
        <v>87.71</v>
      </c>
      <c r="Q3183" s="748" t="s">
        <v>1586</v>
      </c>
      <c r="W3183" s="744"/>
    </row>
    <row r="3184" spans="6:24" ht="24" customHeight="1">
      <c r="F3184" s="283">
        <v>0.25</v>
      </c>
      <c r="G3184" s="283" t="s">
        <v>258</v>
      </c>
      <c r="H3184" s="374" t="s">
        <v>1902</v>
      </c>
      <c r="I3184" s="283">
        <f>I3171</f>
        <v>651</v>
      </c>
      <c r="J3184" s="283" t="s">
        <v>258</v>
      </c>
      <c r="K3184" s="283">
        <f>I3184*F3184</f>
        <v>162.75</v>
      </c>
      <c r="O3184" s="374" t="s">
        <v>3261</v>
      </c>
      <c r="Q3184" s="873">
        <v>1.7600000000000001E-2</v>
      </c>
      <c r="R3184" s="782"/>
      <c r="W3184" s="744"/>
    </row>
    <row r="3185" spans="6:23" ht="24" customHeight="1">
      <c r="F3185" s="283">
        <v>0.4</v>
      </c>
      <c r="G3185" s="283" t="s">
        <v>258</v>
      </c>
      <c r="H3185" s="374" t="s">
        <v>320</v>
      </c>
      <c r="I3185" s="283">
        <f>I3172</f>
        <v>534</v>
      </c>
      <c r="J3185" s="283" t="s">
        <v>258</v>
      </c>
      <c r="K3185" s="283">
        <f>I3185*F3185</f>
        <v>213.6</v>
      </c>
      <c r="O3185" s="374" t="s">
        <v>3262</v>
      </c>
      <c r="Q3185" s="873">
        <v>8.3999999999999995E-3</v>
      </c>
      <c r="R3185" s="782"/>
      <c r="W3185" s="744"/>
    </row>
    <row r="3186" spans="6:23" ht="24" customHeight="1">
      <c r="F3186" s="283">
        <v>10</v>
      </c>
      <c r="G3186" s="283" t="s">
        <v>2283</v>
      </c>
      <c r="H3186" s="374" t="s">
        <v>3038</v>
      </c>
      <c r="I3186" s="283">
        <f>I3173</f>
        <v>0</v>
      </c>
      <c r="J3186" s="283" t="s">
        <v>2283</v>
      </c>
      <c r="K3186" s="283">
        <f>I3186*F3186</f>
        <v>0</v>
      </c>
      <c r="O3186" s="374"/>
      <c r="Q3186" s="748" t="s">
        <v>1586</v>
      </c>
      <c r="R3186" s="782"/>
      <c r="W3186" s="744"/>
    </row>
    <row r="3187" spans="6:23" ht="24" customHeight="1">
      <c r="H3187" s="374" t="s">
        <v>3039</v>
      </c>
      <c r="I3187" s="784" t="s">
        <v>3040</v>
      </c>
      <c r="J3187" s="744"/>
      <c r="K3187" s="283">
        <v>1.6</v>
      </c>
      <c r="O3187" s="374"/>
      <c r="Q3187" s="847">
        <v>2.5999999999999999E-2</v>
      </c>
      <c r="R3187" s="782" t="s">
        <v>2151</v>
      </c>
      <c r="W3187" s="744"/>
    </row>
    <row r="3188" spans="6:23" ht="24" customHeight="1">
      <c r="J3188" s="744"/>
      <c r="K3188" s="283">
        <f>SUM(K3182:K3187)</f>
        <v>666.93</v>
      </c>
      <c r="Q3188" s="748" t="s">
        <v>1586</v>
      </c>
      <c r="R3188" s="748"/>
      <c r="W3188" s="744"/>
    </row>
    <row r="3189" spans="6:23" ht="24" customHeight="1">
      <c r="J3189" s="744"/>
      <c r="K3189" s="283">
        <f>K3188/10</f>
        <v>66.69</v>
      </c>
      <c r="M3189" s="782">
        <v>5.1999999999999998E-2</v>
      </c>
      <c r="N3189" s="283" t="s">
        <v>869</v>
      </c>
      <c r="O3189" s="374" t="s">
        <v>308</v>
      </c>
      <c r="P3189" s="283">
        <f>AC26</f>
        <v>111600</v>
      </c>
      <c r="Q3189" s="744" t="s">
        <v>869</v>
      </c>
      <c r="R3189" s="283">
        <f>P3189*M3189</f>
        <v>5803.2</v>
      </c>
      <c r="W3189" s="744"/>
    </row>
    <row r="3190" spans="6:23" ht="24" customHeight="1">
      <c r="J3190" s="283"/>
      <c r="M3190" s="782">
        <v>3.2910000000000002E-2</v>
      </c>
      <c r="N3190" s="283" t="s">
        <v>869</v>
      </c>
      <c r="O3190" s="374" t="s">
        <v>309</v>
      </c>
      <c r="P3190" s="283">
        <f>AC27</f>
        <v>99400</v>
      </c>
      <c r="Q3190" s="744" t="s">
        <v>869</v>
      </c>
      <c r="R3190" s="283">
        <f t="shared" ref="R3190:R3200" si="303">P3190*M3190</f>
        <v>3271.25</v>
      </c>
      <c r="W3190" s="744"/>
    </row>
    <row r="3191" spans="6:23" ht="24" customHeight="1">
      <c r="J3191" s="283"/>
      <c r="M3191" s="782">
        <v>2.5999999999999999E-2</v>
      </c>
      <c r="N3191" s="283" t="s">
        <v>869</v>
      </c>
      <c r="O3191" s="374" t="s">
        <v>3263</v>
      </c>
      <c r="P3191" s="283">
        <v>107000</v>
      </c>
      <c r="Q3191" s="744" t="s">
        <v>869</v>
      </c>
      <c r="R3191" s="283">
        <f t="shared" si="303"/>
        <v>2782</v>
      </c>
      <c r="W3191" s="744"/>
    </row>
    <row r="3192" spans="6:23" ht="24" customHeight="1">
      <c r="J3192" s="283"/>
      <c r="L3192" s="283">
        <f>K3226</f>
        <v>530.36</v>
      </c>
      <c r="M3192" s="783"/>
      <c r="O3192" s="374" t="s">
        <v>3910</v>
      </c>
      <c r="Q3192" s="744"/>
      <c r="R3192" s="283">
        <f t="shared" si="303"/>
        <v>0</v>
      </c>
      <c r="W3192" s="744"/>
    </row>
    <row r="3193" spans="6:23" ht="24" customHeight="1">
      <c r="H3193" s="283" t="s">
        <v>3041</v>
      </c>
      <c r="J3193" s="283"/>
      <c r="L3193" s="283">
        <f>K3227</f>
        <v>956.4</v>
      </c>
      <c r="M3193" s="783">
        <v>3.1219999999999999</v>
      </c>
      <c r="N3193" s="283" t="s">
        <v>609</v>
      </c>
      <c r="O3193" s="374" t="s">
        <v>447</v>
      </c>
      <c r="P3193" s="283">
        <f>I955</f>
        <v>1537</v>
      </c>
      <c r="Q3193" s="744" t="s">
        <v>609</v>
      </c>
      <c r="R3193" s="283">
        <f t="shared" si="303"/>
        <v>4798.51</v>
      </c>
      <c r="W3193" s="744"/>
    </row>
    <row r="3194" spans="6:23" ht="24" customHeight="1">
      <c r="H3194" s="283" t="s">
        <v>1045</v>
      </c>
      <c r="J3194" s="283"/>
      <c r="M3194" s="283">
        <v>4</v>
      </c>
      <c r="N3194" s="283" t="s">
        <v>769</v>
      </c>
      <c r="O3194" s="374" t="s">
        <v>3264</v>
      </c>
      <c r="P3194" s="283">
        <f>I2638</f>
        <v>254.5</v>
      </c>
      <c r="Q3194" s="744" t="s">
        <v>868</v>
      </c>
      <c r="R3194" s="283">
        <f t="shared" si="303"/>
        <v>1018</v>
      </c>
      <c r="W3194" s="744"/>
    </row>
    <row r="3195" spans="6:23" ht="24" customHeight="1">
      <c r="H3195" s="283" t="s">
        <v>1237</v>
      </c>
      <c r="J3195" s="283"/>
      <c r="L3195" s="283">
        <f>K3229</f>
        <v>6.65</v>
      </c>
      <c r="M3195" s="283">
        <v>8</v>
      </c>
      <c r="N3195" s="283" t="s">
        <v>868</v>
      </c>
      <c r="O3195" s="374" t="s">
        <v>1464</v>
      </c>
      <c r="P3195" s="283">
        <f>P3159</f>
        <v>89.6</v>
      </c>
      <c r="Q3195" s="744" t="s">
        <v>868</v>
      </c>
      <c r="R3195" s="283">
        <f t="shared" si="303"/>
        <v>716.8</v>
      </c>
      <c r="W3195" s="744"/>
    </row>
    <row r="3196" spans="6:23" ht="24" customHeight="1">
      <c r="J3196" s="283"/>
      <c r="L3196" s="283">
        <f>SUM(L3192:L3195)</f>
        <v>1493.41</v>
      </c>
      <c r="M3196" s="283">
        <v>4</v>
      </c>
      <c r="N3196" s="283" t="s">
        <v>868</v>
      </c>
      <c r="O3196" s="374" t="s">
        <v>5343</v>
      </c>
      <c r="P3196" s="283">
        <v>97.85</v>
      </c>
      <c r="Q3196" s="744" t="s">
        <v>868</v>
      </c>
      <c r="R3196" s="283">
        <f t="shared" si="303"/>
        <v>391.4</v>
      </c>
      <c r="W3196" s="744"/>
    </row>
    <row r="3197" spans="6:23" ht="24" customHeight="1">
      <c r="F3197" s="283">
        <v>1.1100000000000001</v>
      </c>
      <c r="G3197" s="283" t="s">
        <v>2570</v>
      </c>
      <c r="H3197" s="283" t="s">
        <v>1180</v>
      </c>
      <c r="I3197" s="283">
        <f>'Print Data (2)'!D415</f>
        <v>227.6</v>
      </c>
      <c r="J3197" s="283" t="s">
        <v>2570</v>
      </c>
      <c r="K3197" s="283">
        <f>I3197*F3197</f>
        <v>252.64</v>
      </c>
      <c r="M3197" s="283">
        <v>1</v>
      </c>
      <c r="N3197" s="283" t="s">
        <v>868</v>
      </c>
      <c r="O3197" s="374" t="s">
        <v>5344</v>
      </c>
      <c r="P3197" s="283">
        <v>209.9</v>
      </c>
      <c r="Q3197" s="744" t="s">
        <v>868</v>
      </c>
      <c r="R3197" s="283">
        <f t="shared" si="303"/>
        <v>209.9</v>
      </c>
      <c r="W3197" s="744"/>
    </row>
    <row r="3198" spans="6:23" ht="24" customHeight="1">
      <c r="F3198" s="283">
        <v>0.7</v>
      </c>
      <c r="G3198" s="283" t="s">
        <v>258</v>
      </c>
      <c r="H3198" s="283" t="s">
        <v>1179</v>
      </c>
      <c r="I3198" s="283">
        <f>I3183</f>
        <v>797</v>
      </c>
      <c r="J3198" s="283" t="s">
        <v>258</v>
      </c>
      <c r="K3198" s="283">
        <f>I3198*F3198</f>
        <v>557.9</v>
      </c>
      <c r="L3198" s="283">
        <f>L3196/10</f>
        <v>149.34</v>
      </c>
      <c r="M3198" s="283">
        <v>2</v>
      </c>
      <c r="N3198" s="283" t="s">
        <v>868</v>
      </c>
      <c r="O3198" s="374" t="s">
        <v>5345</v>
      </c>
      <c r="P3198" s="283">
        <v>23.1</v>
      </c>
      <c r="Q3198" s="744" t="s">
        <v>868</v>
      </c>
      <c r="R3198" s="283">
        <f t="shared" si="303"/>
        <v>46.2</v>
      </c>
      <c r="W3198" s="744"/>
    </row>
    <row r="3199" spans="6:23" ht="24" customHeight="1">
      <c r="F3199" s="283">
        <v>10</v>
      </c>
      <c r="G3199" s="283" t="s">
        <v>2283</v>
      </c>
      <c r="H3199" s="374" t="s">
        <v>5346</v>
      </c>
      <c r="I3199" s="283">
        <f>AE55</f>
        <v>0</v>
      </c>
      <c r="J3199" s="283" t="s">
        <v>2283</v>
      </c>
      <c r="K3199" s="283">
        <f>I3199*F3199</f>
        <v>0</v>
      </c>
      <c r="M3199" s="283">
        <v>2</v>
      </c>
      <c r="N3199" s="283" t="s">
        <v>868</v>
      </c>
      <c r="O3199" s="374" t="s">
        <v>5347</v>
      </c>
      <c r="P3199" s="283">
        <v>49.55</v>
      </c>
      <c r="Q3199" s="744" t="s">
        <v>868</v>
      </c>
      <c r="R3199" s="283">
        <f t="shared" si="303"/>
        <v>99.1</v>
      </c>
      <c r="S3199" s="746">
        <f>0.42*3.122</f>
        <v>1.3109999999999999</v>
      </c>
      <c r="T3199" s="283">
        <f>S3199+19.79</f>
        <v>21.1</v>
      </c>
      <c r="W3199" s="744"/>
    </row>
    <row r="3200" spans="6:23" ht="24" customHeight="1">
      <c r="H3200" s="374" t="s">
        <v>3039</v>
      </c>
      <c r="I3200" s="283" t="s">
        <v>657</v>
      </c>
      <c r="J3200" s="744"/>
      <c r="K3200" s="283">
        <v>2.8</v>
      </c>
      <c r="M3200" s="283">
        <v>118</v>
      </c>
      <c r="N3200" s="283" t="s">
        <v>868</v>
      </c>
      <c r="O3200" s="283" t="s">
        <v>1336</v>
      </c>
      <c r="P3200" s="283">
        <f>I962</f>
        <v>2.41</v>
      </c>
      <c r="Q3200" s="744" t="s">
        <v>868</v>
      </c>
      <c r="R3200" s="283">
        <f t="shared" si="303"/>
        <v>284.38</v>
      </c>
      <c r="W3200" s="744"/>
    </row>
    <row r="3201" spans="6:23" ht="24" customHeight="1">
      <c r="H3201" s="283" t="s">
        <v>441</v>
      </c>
      <c r="J3201" s="744"/>
      <c r="K3201" s="283">
        <f>SUM(K3197:K3200)</f>
        <v>813.34</v>
      </c>
      <c r="Q3201" s="744"/>
      <c r="R3201" s="748" t="s">
        <v>1586</v>
      </c>
      <c r="W3201" s="744"/>
    </row>
    <row r="3202" spans="6:23" ht="24" customHeight="1">
      <c r="J3202" s="744"/>
      <c r="O3202" s="374" t="s">
        <v>3269</v>
      </c>
      <c r="Q3202" s="744"/>
      <c r="R3202" s="283">
        <f>SUM(R3189:R3200)</f>
        <v>19420.740000000002</v>
      </c>
      <c r="W3202" s="744"/>
    </row>
    <row r="3203" spans="6:23" ht="24" customHeight="1">
      <c r="H3203" s="283" t="s">
        <v>552</v>
      </c>
      <c r="J3203" s="744"/>
      <c r="K3203" s="283">
        <f>K3201/10</f>
        <v>81.33</v>
      </c>
      <c r="Q3203" s="744"/>
      <c r="R3203" s="748" t="s">
        <v>1586</v>
      </c>
      <c r="W3203" s="744"/>
    </row>
    <row r="3204" spans="6:23" ht="24" customHeight="1">
      <c r="J3204" s="744"/>
      <c r="O3204" s="745" t="s">
        <v>552</v>
      </c>
      <c r="Q3204" s="750" t="s">
        <v>721</v>
      </c>
      <c r="R3204" s="751">
        <f>R3202/M3193</f>
        <v>6220.61</v>
      </c>
      <c r="W3204" s="744"/>
    </row>
    <row r="3205" spans="6:23" ht="24" customHeight="1">
      <c r="J3205" s="744"/>
      <c r="M3205" s="744"/>
      <c r="N3205" s="283" t="s">
        <v>2251</v>
      </c>
      <c r="O3205" s="374" t="s">
        <v>3270</v>
      </c>
      <c r="Q3205" s="744"/>
      <c r="W3205" s="744"/>
    </row>
    <row r="3206" spans="6:23" ht="24" customHeight="1">
      <c r="J3206" s="744"/>
      <c r="O3206" s="374" t="s">
        <v>256</v>
      </c>
      <c r="Q3206" s="744"/>
      <c r="W3206" s="744"/>
    </row>
    <row r="3207" spans="6:23" ht="24" customHeight="1">
      <c r="H3207" s="283" t="s">
        <v>3041</v>
      </c>
      <c r="J3207" s="744"/>
      <c r="O3207" s="833" t="s">
        <v>2816</v>
      </c>
      <c r="Q3207" s="744"/>
      <c r="W3207" s="744"/>
    </row>
    <row r="3208" spans="6:23" ht="24" customHeight="1">
      <c r="H3208" s="283" t="s">
        <v>1376</v>
      </c>
      <c r="J3208" s="744"/>
      <c r="L3208" s="283">
        <f>K3242</f>
        <v>430.16</v>
      </c>
      <c r="O3208" s="748" t="s">
        <v>1586</v>
      </c>
      <c r="Q3208" s="744"/>
      <c r="W3208" s="744"/>
    </row>
    <row r="3209" spans="6:23" ht="24" customHeight="1">
      <c r="H3209" s="283" t="s">
        <v>1237</v>
      </c>
      <c r="J3209" s="744"/>
      <c r="L3209" s="283">
        <f>K3243</f>
        <v>876.7</v>
      </c>
      <c r="O3209" s="374" t="s">
        <v>3258</v>
      </c>
      <c r="P3209" s="784" t="s">
        <v>2055</v>
      </c>
      <c r="Q3209" s="803">
        <v>3.1219999999999999</v>
      </c>
      <c r="R3209" s="374" t="s">
        <v>2283</v>
      </c>
      <c r="W3209" s="744"/>
    </row>
    <row r="3210" spans="6:23" ht="24" customHeight="1">
      <c r="J3210" s="744"/>
      <c r="O3210" s="374"/>
      <c r="P3210" s="784"/>
      <c r="Q3210" s="803"/>
      <c r="R3210" s="374"/>
      <c r="W3210" s="744"/>
    </row>
    <row r="3211" spans="6:23" ht="24" customHeight="1">
      <c r="F3211" s="283">
        <v>1.33</v>
      </c>
      <c r="G3211" s="283" t="s">
        <v>2570</v>
      </c>
      <c r="H3211" s="283" t="s">
        <v>1180</v>
      </c>
      <c r="I3211" s="283">
        <f>I1535</f>
        <v>238.9</v>
      </c>
      <c r="J3211" s="283" t="s">
        <v>2570</v>
      </c>
      <c r="K3211" s="283">
        <f>I3211*F3211</f>
        <v>317.74</v>
      </c>
      <c r="L3211" s="283">
        <f>K3245</f>
        <v>1.9</v>
      </c>
      <c r="O3211" s="374" t="s">
        <v>6134</v>
      </c>
      <c r="P3211" s="784" t="s">
        <v>2055</v>
      </c>
      <c r="Q3211" s="847">
        <v>5.1999999999999998E-2</v>
      </c>
      <c r="R3211" s="374" t="s">
        <v>2151</v>
      </c>
      <c r="W3211" s="744"/>
    </row>
    <row r="3212" spans="6:23" ht="24" customHeight="1">
      <c r="F3212" s="283">
        <v>0.7</v>
      </c>
      <c r="G3212" s="283" t="s">
        <v>258</v>
      </c>
      <c r="H3212" s="283" t="s">
        <v>1179</v>
      </c>
      <c r="I3212" s="283">
        <f>I3198</f>
        <v>797</v>
      </c>
      <c r="J3212" s="283" t="s">
        <v>258</v>
      </c>
      <c r="K3212" s="283">
        <f>I3212*F3212</f>
        <v>557.9</v>
      </c>
      <c r="L3212" s="283">
        <f>SUM(L3208:L3211)</f>
        <v>1308.76</v>
      </c>
      <c r="O3212" s="374" t="s">
        <v>3259</v>
      </c>
      <c r="Q3212" s="784"/>
      <c r="R3212" s="374"/>
      <c r="W3212" s="744"/>
    </row>
    <row r="3213" spans="6:23" ht="24" customHeight="1">
      <c r="F3213" s="283">
        <v>10</v>
      </c>
      <c r="G3213" s="283" t="s">
        <v>2283</v>
      </c>
      <c r="H3213" s="283" t="s">
        <v>4598</v>
      </c>
      <c r="I3213" s="283">
        <f>AE56</f>
        <v>0</v>
      </c>
      <c r="J3213" s="283" t="s">
        <v>2283</v>
      </c>
      <c r="K3213" s="283">
        <f>I3213*F3213</f>
        <v>0</v>
      </c>
      <c r="O3213" s="374" t="s">
        <v>3384</v>
      </c>
      <c r="P3213" s="784" t="s">
        <v>2055</v>
      </c>
      <c r="Q3213" s="871">
        <v>2.2780000000000002E-2</v>
      </c>
      <c r="R3213" s="374"/>
      <c r="W3213" s="744"/>
    </row>
    <row r="3214" spans="6:23" ht="24" customHeight="1">
      <c r="H3214" s="283" t="s">
        <v>3039</v>
      </c>
      <c r="I3214" s="283" t="s">
        <v>657</v>
      </c>
      <c r="J3214" s="744"/>
      <c r="K3214" s="283">
        <v>3.43</v>
      </c>
      <c r="O3214" s="374" t="s">
        <v>2817</v>
      </c>
      <c r="P3214" s="784" t="s">
        <v>2055</v>
      </c>
      <c r="Q3214" s="871">
        <v>1.013E-2</v>
      </c>
      <c r="R3214" s="796"/>
      <c r="W3214" s="744"/>
    </row>
    <row r="3215" spans="6:23" ht="24" customHeight="1">
      <c r="H3215" s="283" t="s">
        <v>441</v>
      </c>
      <c r="J3215" s="744"/>
      <c r="K3215" s="283">
        <f>SUM(K3211:K3214)</f>
        <v>879.07</v>
      </c>
      <c r="Q3215" s="874" t="s">
        <v>3053</v>
      </c>
      <c r="R3215" s="374"/>
      <c r="W3215" s="744"/>
    </row>
    <row r="3216" spans="6:23" ht="24" customHeight="1">
      <c r="J3216" s="744"/>
      <c r="Q3216" s="872">
        <v>3.2910000000000002E-2</v>
      </c>
      <c r="R3216" s="374" t="s">
        <v>2151</v>
      </c>
      <c r="W3216" s="744"/>
    </row>
    <row r="3217" spans="6:23" ht="24" customHeight="1">
      <c r="H3217" s="283" t="s">
        <v>552</v>
      </c>
      <c r="J3217" s="744"/>
      <c r="K3217" s="283">
        <f>K3215/10</f>
        <v>87.91</v>
      </c>
      <c r="Q3217" s="874" t="s">
        <v>3053</v>
      </c>
      <c r="R3217" s="374"/>
      <c r="W3217" s="744"/>
    </row>
    <row r="3218" spans="6:23" ht="24" customHeight="1">
      <c r="J3218" s="744"/>
      <c r="O3218" s="374" t="s">
        <v>3272</v>
      </c>
      <c r="Q3218" s="847">
        <v>0.94</v>
      </c>
      <c r="R3218" s="796" t="s">
        <v>2283</v>
      </c>
      <c r="W3218" s="744"/>
    </row>
    <row r="3219" spans="6:23" ht="24" customHeight="1">
      <c r="J3219" s="744"/>
      <c r="O3219" s="374" t="s">
        <v>3271</v>
      </c>
      <c r="Q3219" s="847">
        <v>8.3999999999999995E-3</v>
      </c>
      <c r="R3219" s="796" t="s">
        <v>2151</v>
      </c>
      <c r="W3219" s="744"/>
    </row>
    <row r="3220" spans="6:23" ht="24" customHeight="1">
      <c r="J3220" s="744"/>
      <c r="O3220" s="374" t="s">
        <v>3274</v>
      </c>
      <c r="Q3220" s="847">
        <v>7.9</v>
      </c>
      <c r="R3220" s="796" t="s">
        <v>826</v>
      </c>
      <c r="W3220" s="744"/>
    </row>
    <row r="3221" spans="6:23" ht="24" customHeight="1">
      <c r="J3221" s="744"/>
      <c r="Q3221" s="748"/>
      <c r="R3221" s="748"/>
      <c r="W3221" s="744"/>
    </row>
    <row r="3222" spans="6:23" ht="24" customHeight="1">
      <c r="H3222" s="283" t="s">
        <v>2571</v>
      </c>
      <c r="J3222" s="744"/>
      <c r="M3222" s="782">
        <v>5.1999999999999998E-2</v>
      </c>
      <c r="N3222" s="283" t="s">
        <v>869</v>
      </c>
      <c r="O3222" s="374" t="s">
        <v>308</v>
      </c>
      <c r="P3222" s="283">
        <f>P3189</f>
        <v>111600</v>
      </c>
      <c r="Q3222" s="744" t="s">
        <v>869</v>
      </c>
      <c r="R3222" s="283">
        <f>P3222*M3222</f>
        <v>5803.2</v>
      </c>
      <c r="W3222" s="744"/>
    </row>
    <row r="3223" spans="6:23" ht="24" customHeight="1">
      <c r="H3223" s="283" t="s">
        <v>1376</v>
      </c>
      <c r="J3223" s="744"/>
      <c r="M3223" s="782">
        <v>3.2910000000000002E-2</v>
      </c>
      <c r="N3223" s="283" t="s">
        <v>869</v>
      </c>
      <c r="O3223" s="374" t="s">
        <v>309</v>
      </c>
      <c r="P3223" s="283">
        <f>P3190</f>
        <v>99400</v>
      </c>
      <c r="Q3223" s="744" t="s">
        <v>869</v>
      </c>
      <c r="R3223" s="283">
        <f t="shared" ref="R3223:R3235" si="304">P3223*M3223</f>
        <v>3271.25</v>
      </c>
      <c r="W3223" s="744"/>
    </row>
    <row r="3224" spans="6:23" ht="24" customHeight="1">
      <c r="H3224" s="283" t="s">
        <v>1237</v>
      </c>
      <c r="J3224" s="744"/>
      <c r="M3224" s="782">
        <v>8.3999999999999995E-3</v>
      </c>
      <c r="N3224" s="283" t="s">
        <v>869</v>
      </c>
      <c r="O3224" s="374" t="s">
        <v>3263</v>
      </c>
      <c r="P3224" s="283">
        <f>P3191</f>
        <v>107000</v>
      </c>
      <c r="Q3224" s="744" t="s">
        <v>869</v>
      </c>
      <c r="R3224" s="283">
        <f t="shared" si="304"/>
        <v>898.8</v>
      </c>
      <c r="W3224" s="744"/>
    </row>
    <row r="3225" spans="6:23" ht="24" customHeight="1">
      <c r="J3225" s="744"/>
      <c r="M3225" s="783"/>
      <c r="O3225" s="374" t="s">
        <v>3530</v>
      </c>
      <c r="Q3225" s="744"/>
      <c r="R3225" s="283">
        <f t="shared" si="304"/>
        <v>0</v>
      </c>
      <c r="W3225" s="744"/>
    </row>
    <row r="3226" spans="6:23" ht="24" customHeight="1">
      <c r="F3226" s="283">
        <v>2.2200000000000002</v>
      </c>
      <c r="G3226" s="283" t="s">
        <v>2570</v>
      </c>
      <c r="H3226" s="283" t="s">
        <v>1180</v>
      </c>
      <c r="I3226" s="283">
        <f>I3211</f>
        <v>238.9</v>
      </c>
      <c r="J3226" s="283" t="s">
        <v>2570</v>
      </c>
      <c r="K3226" s="283">
        <f>I3226*F3226</f>
        <v>530.36</v>
      </c>
      <c r="M3226" s="783">
        <v>0.94</v>
      </c>
      <c r="N3226" s="283" t="s">
        <v>609</v>
      </c>
      <c r="O3226" s="374" t="s">
        <v>5348</v>
      </c>
      <c r="P3226" s="283">
        <v>562.5</v>
      </c>
      <c r="Q3226" s="744" t="s">
        <v>609</v>
      </c>
      <c r="R3226" s="283">
        <f t="shared" si="304"/>
        <v>528.75</v>
      </c>
      <c r="W3226" s="744"/>
    </row>
    <row r="3227" spans="6:23" ht="24" customHeight="1">
      <c r="F3227" s="283">
        <v>1.2</v>
      </c>
      <c r="G3227" s="283" t="s">
        <v>258</v>
      </c>
      <c r="H3227" s="283" t="s">
        <v>1179</v>
      </c>
      <c r="I3227" s="283">
        <f>I3212</f>
        <v>797</v>
      </c>
      <c r="J3227" s="283" t="s">
        <v>258</v>
      </c>
      <c r="K3227" s="283">
        <f>I3227*F3227</f>
        <v>956.4</v>
      </c>
      <c r="M3227" s="783">
        <v>7.9</v>
      </c>
      <c r="N3227" s="283" t="s">
        <v>1771</v>
      </c>
      <c r="O3227" s="374" t="s">
        <v>5349</v>
      </c>
      <c r="P3227" s="283">
        <v>15.45</v>
      </c>
      <c r="Q3227" s="744" t="s">
        <v>826</v>
      </c>
      <c r="R3227" s="283">
        <f t="shared" si="304"/>
        <v>122.06</v>
      </c>
      <c r="W3227" s="744"/>
    </row>
    <row r="3228" spans="6:23" ht="24" customHeight="1">
      <c r="F3228" s="283">
        <v>10</v>
      </c>
      <c r="G3228" s="283" t="s">
        <v>2283</v>
      </c>
      <c r="H3228" s="283" t="s">
        <v>3038</v>
      </c>
      <c r="I3228" s="283">
        <f>I3213</f>
        <v>0</v>
      </c>
      <c r="J3228" s="283" t="s">
        <v>2283</v>
      </c>
      <c r="K3228" s="283">
        <f>I3228*F3228</f>
        <v>0</v>
      </c>
      <c r="M3228" s="783">
        <v>3.1219999999999999</v>
      </c>
      <c r="N3228" s="283" t="s">
        <v>609</v>
      </c>
      <c r="O3228" s="374" t="s">
        <v>4606</v>
      </c>
      <c r="P3228" s="283">
        <f>AE59</f>
        <v>0</v>
      </c>
      <c r="Q3228" s="744" t="s">
        <v>609</v>
      </c>
      <c r="R3228" s="283">
        <f t="shared" si="304"/>
        <v>0</v>
      </c>
      <c r="W3228" s="744"/>
    </row>
    <row r="3229" spans="6:23" ht="24" customHeight="1">
      <c r="H3229" s="283" t="s">
        <v>3039</v>
      </c>
      <c r="I3229" s="283" t="s">
        <v>657</v>
      </c>
      <c r="J3229" s="744"/>
      <c r="K3229" s="283">
        <v>6.65</v>
      </c>
      <c r="M3229" s="283">
        <v>4</v>
      </c>
      <c r="N3229" s="283" t="s">
        <v>769</v>
      </c>
      <c r="O3229" s="374" t="s">
        <v>3868</v>
      </c>
      <c r="P3229" s="283">
        <f>C599</f>
        <v>57.65</v>
      </c>
      <c r="Q3229" s="744" t="s">
        <v>868</v>
      </c>
      <c r="R3229" s="283">
        <f t="shared" si="304"/>
        <v>230.6</v>
      </c>
      <c r="W3229" s="744"/>
    </row>
    <row r="3230" spans="6:23" ht="24" customHeight="1">
      <c r="H3230" s="283" t="s">
        <v>441</v>
      </c>
      <c r="J3230" s="744"/>
      <c r="K3230" s="283">
        <f>SUM(K3226:K3229)</f>
        <v>1493.41</v>
      </c>
      <c r="M3230" s="283">
        <v>8</v>
      </c>
      <c r="N3230" s="283" t="s">
        <v>868</v>
      </c>
      <c r="O3230" s="374" t="s">
        <v>3869</v>
      </c>
      <c r="P3230" s="283">
        <f>C280</f>
        <v>89.6</v>
      </c>
      <c r="Q3230" s="744" t="s">
        <v>868</v>
      </c>
      <c r="R3230" s="283">
        <f t="shared" si="304"/>
        <v>716.8</v>
      </c>
      <c r="W3230" s="744"/>
    </row>
    <row r="3231" spans="6:23" ht="24" customHeight="1">
      <c r="J3231" s="744"/>
      <c r="M3231" s="283">
        <v>4</v>
      </c>
      <c r="N3231" s="283" t="s">
        <v>868</v>
      </c>
      <c r="O3231" s="374" t="s">
        <v>3265</v>
      </c>
      <c r="P3231" s="283">
        <f>P3196</f>
        <v>97.85</v>
      </c>
      <c r="Q3231" s="744" t="s">
        <v>868</v>
      </c>
      <c r="R3231" s="283">
        <f t="shared" si="304"/>
        <v>391.4</v>
      </c>
      <c r="W3231" s="744"/>
    </row>
    <row r="3232" spans="6:23" ht="24" customHeight="1">
      <c r="H3232" s="283" t="s">
        <v>552</v>
      </c>
      <c r="J3232" s="744"/>
      <c r="K3232" s="283">
        <f>K3230/10</f>
        <v>149.34</v>
      </c>
      <c r="M3232" s="283">
        <v>1</v>
      </c>
      <c r="N3232" s="283" t="s">
        <v>868</v>
      </c>
      <c r="O3232" s="374" t="s">
        <v>3266</v>
      </c>
      <c r="P3232" s="283">
        <f>P3197</f>
        <v>209.9</v>
      </c>
      <c r="Q3232" s="744" t="s">
        <v>868</v>
      </c>
      <c r="R3232" s="283">
        <f t="shared" si="304"/>
        <v>209.9</v>
      </c>
      <c r="W3232" s="744"/>
    </row>
    <row r="3233" spans="6:24" ht="24" customHeight="1">
      <c r="J3233" s="744"/>
      <c r="L3233" s="283">
        <f>K3267</f>
        <v>284.39999999999998</v>
      </c>
      <c r="M3233" s="283">
        <v>2</v>
      </c>
      <c r="N3233" s="283" t="s">
        <v>868</v>
      </c>
      <c r="O3233" s="374" t="s">
        <v>3267</v>
      </c>
      <c r="P3233" s="283">
        <f>P3198</f>
        <v>23.1</v>
      </c>
      <c r="Q3233" s="744" t="s">
        <v>868</v>
      </c>
      <c r="R3233" s="283">
        <f t="shared" si="304"/>
        <v>46.2</v>
      </c>
      <c r="W3233" s="744"/>
    </row>
    <row r="3234" spans="6:24" ht="24" customHeight="1">
      <c r="J3234" s="744"/>
      <c r="L3234" s="283">
        <f>K3268</f>
        <v>199.25</v>
      </c>
      <c r="M3234" s="283">
        <v>2</v>
      </c>
      <c r="N3234" s="283" t="s">
        <v>868</v>
      </c>
      <c r="O3234" s="374" t="s">
        <v>3268</v>
      </c>
      <c r="P3234" s="283">
        <f>P3199</f>
        <v>49.55</v>
      </c>
      <c r="Q3234" s="744" t="s">
        <v>868</v>
      </c>
      <c r="R3234" s="283">
        <f t="shared" si="304"/>
        <v>99.1</v>
      </c>
      <c r="W3234" s="744"/>
    </row>
    <row r="3235" spans="6:24" ht="24" customHeight="1">
      <c r="J3235" s="744"/>
      <c r="L3235" s="283">
        <f>K3269</f>
        <v>162.75</v>
      </c>
      <c r="M3235" s="283">
        <v>118</v>
      </c>
      <c r="N3235" s="283" t="s">
        <v>868</v>
      </c>
      <c r="O3235" s="283" t="s">
        <v>1336</v>
      </c>
      <c r="P3235" s="283">
        <f>P3200</f>
        <v>2.41</v>
      </c>
      <c r="Q3235" s="744" t="s">
        <v>868</v>
      </c>
      <c r="R3235" s="283">
        <f t="shared" si="304"/>
        <v>284.38</v>
      </c>
      <c r="W3235" s="744"/>
    </row>
    <row r="3236" spans="6:24" ht="24" customHeight="1">
      <c r="J3236" s="744"/>
      <c r="L3236" s="283">
        <f>K3270</f>
        <v>213.6</v>
      </c>
      <c r="Q3236" s="744"/>
      <c r="R3236" s="748" t="s">
        <v>1586</v>
      </c>
      <c r="W3236" s="744"/>
    </row>
    <row r="3237" spans="6:24" ht="24" customHeight="1">
      <c r="J3237" s="744"/>
      <c r="L3237" s="283">
        <f>K3271</f>
        <v>1.65</v>
      </c>
      <c r="O3237" s="374" t="s">
        <v>3269</v>
      </c>
      <c r="Q3237" s="744"/>
      <c r="R3237" s="283">
        <f>SUM(R3222:R3235)</f>
        <v>12602.44</v>
      </c>
      <c r="W3237" s="744"/>
    </row>
    <row r="3238" spans="6:24" ht="24" customHeight="1">
      <c r="H3238" s="283" t="s">
        <v>2571</v>
      </c>
      <c r="J3238" s="744"/>
      <c r="Q3238" s="744"/>
      <c r="R3238" s="748" t="s">
        <v>1586</v>
      </c>
      <c r="W3238" s="744"/>
    </row>
    <row r="3239" spans="6:24" ht="24" customHeight="1">
      <c r="H3239" s="283" t="s">
        <v>1045</v>
      </c>
      <c r="J3239" s="744"/>
      <c r="O3239" s="745" t="s">
        <v>552</v>
      </c>
      <c r="Q3239" s="750" t="s">
        <v>721</v>
      </c>
      <c r="R3239" s="751">
        <f>R3237/M3228</f>
        <v>4036.66</v>
      </c>
      <c r="W3239" s="744"/>
    </row>
    <row r="3240" spans="6:24" ht="24" customHeight="1">
      <c r="H3240" s="283" t="s">
        <v>1237</v>
      </c>
      <c r="J3240" s="744"/>
      <c r="L3240" s="283">
        <f>SUM(L3233:L3239)</f>
        <v>861.65</v>
      </c>
      <c r="M3240" s="744"/>
      <c r="N3240" s="283" t="s">
        <v>2251</v>
      </c>
      <c r="O3240" s="374" t="s">
        <v>2815</v>
      </c>
      <c r="Q3240" s="744"/>
      <c r="W3240" s="744"/>
    </row>
    <row r="3241" spans="6:24" ht="24" customHeight="1">
      <c r="J3241" s="744"/>
      <c r="O3241" s="374" t="s">
        <v>256</v>
      </c>
      <c r="Q3241" s="744"/>
      <c r="W3241" s="744"/>
    </row>
    <row r="3242" spans="6:24" ht="24" customHeight="1">
      <c r="F3242" s="283">
        <v>1.89</v>
      </c>
      <c r="G3242" s="283" t="s">
        <v>2570</v>
      </c>
      <c r="H3242" s="283" t="s">
        <v>1180</v>
      </c>
      <c r="I3242" s="283">
        <f>I3197</f>
        <v>227.6</v>
      </c>
      <c r="J3242" s="283" t="s">
        <v>2570</v>
      </c>
      <c r="K3242" s="283">
        <f>I3242*F3242</f>
        <v>430.16</v>
      </c>
      <c r="L3242" s="283">
        <f>L3240/10</f>
        <v>86.17</v>
      </c>
      <c r="O3242" s="833" t="s">
        <v>3276</v>
      </c>
      <c r="Q3242" s="744"/>
      <c r="W3242" s="744"/>
    </row>
    <row r="3243" spans="6:24" ht="24" customHeight="1">
      <c r="F3243" s="283">
        <v>1.1000000000000001</v>
      </c>
      <c r="G3243" s="283" t="s">
        <v>258</v>
      </c>
      <c r="H3243" s="283" t="s">
        <v>1179</v>
      </c>
      <c r="I3243" s="283">
        <f>I3198</f>
        <v>797</v>
      </c>
      <c r="J3243" s="283" t="s">
        <v>258</v>
      </c>
      <c r="K3243" s="283">
        <f>I3243*F3243</f>
        <v>876.7</v>
      </c>
      <c r="O3243" s="748" t="s">
        <v>1586</v>
      </c>
      <c r="Q3243" s="744"/>
      <c r="W3243" s="744"/>
    </row>
    <row r="3244" spans="6:24" ht="24" customHeight="1">
      <c r="F3244" s="283">
        <v>10</v>
      </c>
      <c r="G3244" s="283" t="s">
        <v>2283</v>
      </c>
      <c r="H3244" s="374" t="s">
        <v>3038</v>
      </c>
      <c r="I3244" s="283">
        <f>I3199</f>
        <v>0</v>
      </c>
      <c r="J3244" s="283" t="s">
        <v>2283</v>
      </c>
      <c r="K3244" s="283">
        <f>I3244*F3244</f>
        <v>0</v>
      </c>
      <c r="O3244" s="374" t="s">
        <v>3277</v>
      </c>
      <c r="P3244" s="784" t="s">
        <v>2055</v>
      </c>
      <c r="Q3244" s="803">
        <v>2.4279999999999999</v>
      </c>
      <c r="R3244" s="283" t="s">
        <v>2283</v>
      </c>
      <c r="W3244" s="744"/>
    </row>
    <row r="3245" spans="6:24" ht="30" customHeight="1">
      <c r="H3245" s="374" t="s">
        <v>3039</v>
      </c>
      <c r="I3245" s="283" t="s">
        <v>657</v>
      </c>
      <c r="J3245" s="744"/>
      <c r="K3245" s="283">
        <v>1.9</v>
      </c>
      <c r="O3245" s="374"/>
      <c r="P3245" s="784"/>
      <c r="Q3245" s="803"/>
      <c r="W3245" s="744"/>
    </row>
    <row r="3246" spans="6:24" ht="30" customHeight="1">
      <c r="H3246" s="283" t="s">
        <v>441</v>
      </c>
      <c r="J3246" s="744"/>
      <c r="K3246" s="283">
        <f>SUM(K3242:K3245)</f>
        <v>1308.76</v>
      </c>
      <c r="O3246" s="374" t="s">
        <v>6134</v>
      </c>
      <c r="P3246" s="784" t="s">
        <v>2055</v>
      </c>
      <c r="Q3246" s="847">
        <v>5.1999999999999998E-2</v>
      </c>
      <c r="R3246" s="283" t="s">
        <v>2151</v>
      </c>
      <c r="T3246" s="751" t="s">
        <v>678</v>
      </c>
      <c r="W3246" s="744"/>
    </row>
    <row r="3247" spans="6:24" ht="30" customHeight="1">
      <c r="J3247" s="744"/>
      <c r="O3247" s="374" t="s">
        <v>3259</v>
      </c>
      <c r="Q3247" s="784"/>
      <c r="T3247" s="751" t="s">
        <v>1888</v>
      </c>
      <c r="W3247" s="744"/>
    </row>
    <row r="3248" spans="6:24" ht="30" customHeight="1">
      <c r="H3248" s="283" t="s">
        <v>552</v>
      </c>
      <c r="J3248" s="744"/>
      <c r="K3248" s="283">
        <f>K3246/10</f>
        <v>130.88</v>
      </c>
      <c r="O3248" s="374" t="s">
        <v>3278</v>
      </c>
      <c r="P3248" s="784" t="s">
        <v>2055</v>
      </c>
      <c r="Q3248" s="875">
        <v>1.7718999999999999E-2</v>
      </c>
      <c r="S3248" s="876">
        <v>6.3E-2</v>
      </c>
      <c r="T3248" s="751" t="s">
        <v>869</v>
      </c>
      <c r="U3248" s="751" t="s">
        <v>3124</v>
      </c>
      <c r="V3248" s="751">
        <f>P3292</f>
        <v>111600</v>
      </c>
      <c r="W3248" s="757" t="s">
        <v>869</v>
      </c>
      <c r="X3248" s="751">
        <f>V3248*S3248</f>
        <v>7030.8</v>
      </c>
    </row>
    <row r="3249" spans="6:24" ht="30" customHeight="1">
      <c r="J3249" s="283"/>
      <c r="O3249" s="374" t="s">
        <v>3279</v>
      </c>
      <c r="P3249" s="784" t="s">
        <v>2055</v>
      </c>
      <c r="Q3249" s="875">
        <v>7.8750000000000001E-3</v>
      </c>
      <c r="R3249" s="782"/>
      <c r="S3249" s="876">
        <v>4.8000000000000001E-2</v>
      </c>
      <c r="T3249" s="751" t="s">
        <v>869</v>
      </c>
      <c r="U3249" s="751" t="s">
        <v>2452</v>
      </c>
      <c r="V3249" s="751">
        <f>I3281</f>
        <v>99400</v>
      </c>
      <c r="W3249" s="757" t="s">
        <v>869</v>
      </c>
      <c r="X3249" s="751">
        <f>V3249*S3249</f>
        <v>4771.2</v>
      </c>
    </row>
    <row r="3250" spans="6:24" ht="30" customHeight="1">
      <c r="H3250" s="374" t="s">
        <v>1922</v>
      </c>
      <c r="J3250" s="283"/>
      <c r="Q3250" s="748" t="s">
        <v>1586</v>
      </c>
      <c r="S3250" s="876">
        <v>1.54</v>
      </c>
      <c r="T3250" s="751" t="s">
        <v>609</v>
      </c>
      <c r="U3250" s="751" t="s">
        <v>1889</v>
      </c>
      <c r="V3250" s="751">
        <f t="shared" ref="V3250:V3259" si="305">I3282</f>
        <v>2152</v>
      </c>
      <c r="W3250" s="757" t="s">
        <v>2283</v>
      </c>
      <c r="X3250" s="751">
        <f t="shared" ref="X3250:X3259" si="306">V3250*S3250</f>
        <v>3314.08</v>
      </c>
    </row>
    <row r="3251" spans="6:24" ht="30" customHeight="1">
      <c r="H3251" s="374" t="s">
        <v>2572</v>
      </c>
      <c r="J3251" s="283"/>
      <c r="Q3251" s="872">
        <v>2.5590000000000002E-2</v>
      </c>
      <c r="R3251" s="283" t="s">
        <v>2151</v>
      </c>
      <c r="S3251" s="876">
        <v>3.9E-2</v>
      </c>
      <c r="T3251" s="751" t="s">
        <v>869</v>
      </c>
      <c r="U3251" s="791" t="s">
        <v>937</v>
      </c>
      <c r="V3251" s="751">
        <f t="shared" si="305"/>
        <v>95000</v>
      </c>
      <c r="W3251" s="757" t="s">
        <v>869</v>
      </c>
      <c r="X3251" s="751">
        <f t="shared" si="306"/>
        <v>3705</v>
      </c>
    </row>
    <row r="3252" spans="6:24" ht="30" customHeight="1">
      <c r="J3252" s="283"/>
      <c r="Q3252" s="748" t="s">
        <v>1586</v>
      </c>
      <c r="S3252" s="876">
        <v>3.488</v>
      </c>
      <c r="T3252" s="751" t="s">
        <v>609</v>
      </c>
      <c r="U3252" s="791" t="s">
        <v>883</v>
      </c>
      <c r="V3252" s="751">
        <f t="shared" si="305"/>
        <v>1537</v>
      </c>
      <c r="W3252" s="757" t="s">
        <v>609</v>
      </c>
      <c r="X3252" s="751">
        <f t="shared" si="306"/>
        <v>5361.06</v>
      </c>
    </row>
    <row r="3253" spans="6:24" ht="30" customHeight="1">
      <c r="F3253" s="283">
        <v>0.22</v>
      </c>
      <c r="G3253" s="283" t="s">
        <v>869</v>
      </c>
      <c r="H3253" s="374" t="s">
        <v>1625</v>
      </c>
      <c r="I3253" s="283">
        <f>K49</f>
        <v>3929.58</v>
      </c>
      <c r="J3253" s="744" t="s">
        <v>869</v>
      </c>
      <c r="K3253" s="283">
        <f>(F3253*I3253)</f>
        <v>864.51</v>
      </c>
      <c r="O3253" s="374" t="s">
        <v>3280</v>
      </c>
      <c r="Q3253" s="873">
        <v>1.0999999999999999E-2</v>
      </c>
      <c r="R3253" s="782"/>
      <c r="S3253" s="876">
        <v>6</v>
      </c>
      <c r="T3253" s="751" t="s">
        <v>1873</v>
      </c>
      <c r="U3253" s="751" t="s">
        <v>1890</v>
      </c>
      <c r="V3253" s="751">
        <f t="shared" si="305"/>
        <v>214.1</v>
      </c>
      <c r="W3253" s="757" t="s">
        <v>1398</v>
      </c>
      <c r="X3253" s="751">
        <f t="shared" si="306"/>
        <v>1284.5999999999999</v>
      </c>
    </row>
    <row r="3254" spans="6:24" ht="30" customHeight="1">
      <c r="F3254" s="283">
        <v>2.2000000000000002</v>
      </c>
      <c r="G3254" s="283" t="s">
        <v>769</v>
      </c>
      <c r="H3254" s="374" t="s">
        <v>2009</v>
      </c>
      <c r="I3254" s="283">
        <f>AE9</f>
        <v>999</v>
      </c>
      <c r="J3254" s="744" t="s">
        <v>769</v>
      </c>
      <c r="K3254" s="283">
        <f>(F3254*I3254)</f>
        <v>2197.8000000000002</v>
      </c>
      <c r="O3254" s="374" t="s">
        <v>3281</v>
      </c>
      <c r="Q3254" s="873">
        <v>5.3E-3</v>
      </c>
      <c r="R3254" s="782"/>
      <c r="S3254" s="876">
        <v>1</v>
      </c>
      <c r="T3254" s="751" t="s">
        <v>1873</v>
      </c>
      <c r="U3254" s="751" t="s">
        <v>1891</v>
      </c>
      <c r="V3254" s="751">
        <f t="shared" si="305"/>
        <v>1020</v>
      </c>
      <c r="W3254" s="757" t="s">
        <v>1398</v>
      </c>
      <c r="X3254" s="751">
        <f t="shared" si="306"/>
        <v>1020</v>
      </c>
    </row>
    <row r="3255" spans="6:24" ht="30" customHeight="1">
      <c r="F3255" s="283">
        <v>0.5</v>
      </c>
      <c r="G3255" s="283" t="s">
        <v>769</v>
      </c>
      <c r="H3255" s="374" t="s">
        <v>934</v>
      </c>
      <c r="I3255" s="283">
        <f>I3184</f>
        <v>651</v>
      </c>
      <c r="J3255" s="744" t="s">
        <v>769</v>
      </c>
      <c r="K3255" s="283">
        <f>(F3255*I3255)</f>
        <v>325.5</v>
      </c>
      <c r="O3255" s="374"/>
      <c r="Q3255" s="748" t="s">
        <v>1586</v>
      </c>
      <c r="R3255" s="782"/>
      <c r="S3255" s="876">
        <v>2</v>
      </c>
      <c r="T3255" s="751" t="s">
        <v>1873</v>
      </c>
      <c r="U3255" s="751" t="s">
        <v>1892</v>
      </c>
      <c r="V3255" s="751">
        <f t="shared" si="305"/>
        <v>540</v>
      </c>
      <c r="W3255" s="757" t="s">
        <v>1398</v>
      </c>
      <c r="X3255" s="751">
        <f t="shared" si="306"/>
        <v>1080</v>
      </c>
    </row>
    <row r="3256" spans="6:24" ht="30" customHeight="1">
      <c r="F3256" s="283">
        <v>3.2</v>
      </c>
      <c r="G3256" s="283" t="s">
        <v>769</v>
      </c>
      <c r="H3256" s="374" t="s">
        <v>320</v>
      </c>
      <c r="I3256" s="283">
        <f>I3185</f>
        <v>534</v>
      </c>
      <c r="J3256" s="744" t="s">
        <v>769</v>
      </c>
      <c r="K3256" s="283">
        <f>(F3256*I3256)</f>
        <v>1708.8</v>
      </c>
      <c r="O3256" s="374"/>
      <c r="Q3256" s="847">
        <v>1.6299999999999999E-2</v>
      </c>
      <c r="R3256" s="782" t="s">
        <v>2151</v>
      </c>
      <c r="S3256" s="876">
        <v>2</v>
      </c>
      <c r="T3256" s="751" t="s">
        <v>1873</v>
      </c>
      <c r="U3256" s="751" t="s">
        <v>1893</v>
      </c>
      <c r="V3256" s="751">
        <f t="shared" si="305"/>
        <v>764</v>
      </c>
      <c r="W3256" s="757" t="s">
        <v>1398</v>
      </c>
      <c r="X3256" s="751">
        <f t="shared" si="306"/>
        <v>1528</v>
      </c>
    </row>
    <row r="3257" spans="6:24" ht="30" customHeight="1">
      <c r="F3257" s="283">
        <v>10</v>
      </c>
      <c r="G3257" s="283" t="s">
        <v>233</v>
      </c>
      <c r="H3257" s="777" t="s">
        <v>5350</v>
      </c>
      <c r="I3257" s="784">
        <f>AE57</f>
        <v>0</v>
      </c>
      <c r="J3257" s="744" t="s">
        <v>233</v>
      </c>
      <c r="K3257" s="283">
        <f>(F3257*I3257)</f>
        <v>0</v>
      </c>
      <c r="Q3257" s="748" t="s">
        <v>1586</v>
      </c>
      <c r="R3257" s="748"/>
      <c r="S3257" s="876">
        <v>1</v>
      </c>
      <c r="T3257" s="751" t="s">
        <v>1873</v>
      </c>
      <c r="U3257" s="751" t="s">
        <v>1894</v>
      </c>
      <c r="V3257" s="751">
        <f t="shared" si="305"/>
        <v>985</v>
      </c>
      <c r="W3257" s="757" t="s">
        <v>1398</v>
      </c>
      <c r="X3257" s="751">
        <f t="shared" si="306"/>
        <v>985</v>
      </c>
    </row>
    <row r="3258" spans="6:24" ht="39.75" customHeight="1">
      <c r="J3258" s="744"/>
      <c r="K3258" s="748" t="s">
        <v>1586</v>
      </c>
      <c r="M3258" s="782">
        <v>5.1999999999999998E-2</v>
      </c>
      <c r="N3258" s="283" t="s">
        <v>869</v>
      </c>
      <c r="O3258" s="374" t="s">
        <v>308</v>
      </c>
      <c r="P3258" s="283">
        <f>P3189</f>
        <v>111600</v>
      </c>
      <c r="Q3258" s="744" t="s">
        <v>869</v>
      </c>
      <c r="R3258" s="283">
        <f>P3258*M3258</f>
        <v>5803.2</v>
      </c>
      <c r="S3258" s="876">
        <v>2</v>
      </c>
      <c r="T3258" s="751" t="s">
        <v>1873</v>
      </c>
      <c r="U3258" s="751" t="s">
        <v>1895</v>
      </c>
      <c r="V3258" s="751">
        <f t="shared" si="305"/>
        <v>450</v>
      </c>
      <c r="W3258" s="757" t="s">
        <v>1398</v>
      </c>
      <c r="X3258" s="751">
        <f t="shared" si="306"/>
        <v>900</v>
      </c>
    </row>
    <row r="3259" spans="6:24" ht="30" customHeight="1">
      <c r="H3259" s="374" t="s">
        <v>441</v>
      </c>
      <c r="J3259" s="744"/>
      <c r="K3259" s="283">
        <f>SUM(K3253:K3258)</f>
        <v>5096.6099999999997</v>
      </c>
      <c r="M3259" s="782">
        <v>2.5590000000000002E-2</v>
      </c>
      <c r="N3259" s="283" t="s">
        <v>869</v>
      </c>
      <c r="O3259" s="374" t="s">
        <v>309</v>
      </c>
      <c r="P3259" s="283">
        <f>P3190</f>
        <v>99400</v>
      </c>
      <c r="Q3259" s="744" t="s">
        <v>869</v>
      </c>
      <c r="R3259" s="283">
        <f t="shared" ref="R3259:R3269" si="307">P3259*M3259</f>
        <v>2543.65</v>
      </c>
      <c r="S3259" s="876">
        <v>0</v>
      </c>
      <c r="T3259" s="751" t="s">
        <v>1432</v>
      </c>
      <c r="U3259" s="751" t="s">
        <v>6135</v>
      </c>
      <c r="V3259" s="751">
        <f t="shared" si="305"/>
        <v>2.41</v>
      </c>
      <c r="W3259" s="757" t="s">
        <v>1398</v>
      </c>
      <c r="X3259" s="844">
        <f t="shared" si="306"/>
        <v>0</v>
      </c>
    </row>
    <row r="3260" spans="6:24" ht="30" customHeight="1">
      <c r="J3260" s="744"/>
      <c r="K3260" s="748" t="s">
        <v>1586</v>
      </c>
      <c r="M3260" s="782">
        <v>1.6299999999999999E-2</v>
      </c>
      <c r="N3260" s="283" t="s">
        <v>869</v>
      </c>
      <c r="O3260" s="374" t="s">
        <v>3282</v>
      </c>
      <c r="P3260" s="283">
        <f>AC28</f>
        <v>95000</v>
      </c>
      <c r="Q3260" s="744" t="s">
        <v>869</v>
      </c>
      <c r="R3260" s="283">
        <f t="shared" si="307"/>
        <v>1548.5</v>
      </c>
      <c r="S3260" s="876"/>
      <c r="T3260" s="751"/>
      <c r="U3260" s="751" t="s">
        <v>1896</v>
      </c>
      <c r="V3260" s="751"/>
      <c r="W3260" s="757"/>
      <c r="X3260" s="751">
        <f>SUM(X3248:X3259)</f>
        <v>30979.74</v>
      </c>
    </row>
    <row r="3261" spans="6:24" ht="30" customHeight="1">
      <c r="H3261" s="374" t="s">
        <v>552</v>
      </c>
      <c r="J3261" s="744"/>
      <c r="K3261" s="283">
        <f>(K3259/10)</f>
        <v>509.66</v>
      </c>
      <c r="M3261" s="783"/>
      <c r="O3261" s="374" t="s">
        <v>945</v>
      </c>
      <c r="Q3261" s="744"/>
      <c r="R3261" s="283">
        <f t="shared" si="307"/>
        <v>0</v>
      </c>
      <c r="S3261" s="876"/>
      <c r="T3261" s="751"/>
      <c r="U3261" s="751"/>
      <c r="V3261" s="751"/>
      <c r="W3261" s="757"/>
      <c r="X3261" s="844" t="s">
        <v>146</v>
      </c>
    </row>
    <row r="3262" spans="6:24" ht="30" customHeight="1">
      <c r="J3262" s="744"/>
      <c r="K3262" s="748" t="s">
        <v>2055</v>
      </c>
      <c r="M3262" s="783">
        <v>2.4279999999999999</v>
      </c>
      <c r="N3262" s="283" t="s">
        <v>609</v>
      </c>
      <c r="O3262" s="374" t="s">
        <v>447</v>
      </c>
      <c r="P3262" s="283">
        <f t="shared" ref="P3262:P3268" si="308">P3193</f>
        <v>1537</v>
      </c>
      <c r="Q3262" s="744" t="s">
        <v>609</v>
      </c>
      <c r="R3262" s="283">
        <f t="shared" si="307"/>
        <v>3731.84</v>
      </c>
      <c r="S3262" s="876"/>
      <c r="T3262" s="751"/>
      <c r="U3262" s="751" t="s">
        <v>1897</v>
      </c>
      <c r="V3262" s="751"/>
      <c r="W3262" s="757"/>
      <c r="X3262" s="751">
        <f>X3260/S3252</f>
        <v>8881.81</v>
      </c>
    </row>
    <row r="3263" spans="6:24" ht="24" customHeight="1">
      <c r="J3263" s="283"/>
      <c r="K3263" s="283">
        <f>54000+7000</f>
        <v>61000</v>
      </c>
      <c r="M3263" s="283">
        <v>4</v>
      </c>
      <c r="N3263" s="283" t="s">
        <v>769</v>
      </c>
      <c r="O3263" s="374" t="s">
        <v>3264</v>
      </c>
      <c r="P3263" s="283">
        <f>P3229</f>
        <v>57.65</v>
      </c>
      <c r="Q3263" s="744" t="s">
        <v>868</v>
      </c>
      <c r="R3263" s="283">
        <f t="shared" si="307"/>
        <v>230.6</v>
      </c>
      <c r="S3263" s="876"/>
      <c r="T3263" s="751"/>
      <c r="U3263" s="751"/>
      <c r="V3263" s="751"/>
      <c r="W3263" s="757"/>
      <c r="X3263" s="844" t="s">
        <v>146</v>
      </c>
    </row>
    <row r="3264" spans="6:24" ht="24" customHeight="1">
      <c r="J3264" s="283"/>
      <c r="M3264" s="283">
        <v>8</v>
      </c>
      <c r="N3264" s="283" t="s">
        <v>868</v>
      </c>
      <c r="O3264" s="374" t="s">
        <v>1464</v>
      </c>
      <c r="P3264" s="283">
        <f>P3230</f>
        <v>89.6</v>
      </c>
      <c r="Q3264" s="744" t="s">
        <v>868</v>
      </c>
      <c r="R3264" s="283">
        <f t="shared" si="307"/>
        <v>716.8</v>
      </c>
      <c r="W3264" s="744"/>
    </row>
    <row r="3265" spans="6:23" ht="24" customHeight="1">
      <c r="F3265" s="744" t="s">
        <v>30</v>
      </c>
      <c r="G3265" s="283" t="s">
        <v>2251</v>
      </c>
      <c r="H3265" s="744" t="s">
        <v>3390</v>
      </c>
      <c r="J3265" s="744"/>
      <c r="M3265" s="283">
        <v>4</v>
      </c>
      <c r="N3265" s="283" t="s">
        <v>868</v>
      </c>
      <c r="O3265" s="374" t="s">
        <v>3265</v>
      </c>
      <c r="P3265" s="283">
        <f t="shared" si="308"/>
        <v>97.85</v>
      </c>
      <c r="Q3265" s="744" t="s">
        <v>868</v>
      </c>
      <c r="R3265" s="283">
        <f t="shared" si="307"/>
        <v>391.4</v>
      </c>
      <c r="W3265" s="744"/>
    </row>
    <row r="3266" spans="6:23" ht="24" customHeight="1">
      <c r="H3266" s="744" t="s">
        <v>32</v>
      </c>
      <c r="J3266" s="744"/>
      <c r="M3266" s="283">
        <v>1</v>
      </c>
      <c r="N3266" s="283" t="s">
        <v>868</v>
      </c>
      <c r="O3266" s="374" t="s">
        <v>3266</v>
      </c>
      <c r="P3266" s="283">
        <f t="shared" si="308"/>
        <v>209.9</v>
      </c>
      <c r="Q3266" s="744" t="s">
        <v>868</v>
      </c>
      <c r="R3266" s="283">
        <f t="shared" si="307"/>
        <v>209.9</v>
      </c>
      <c r="W3266" s="744"/>
    </row>
    <row r="3267" spans="6:23" ht="24" customHeight="1">
      <c r="F3267" s="283">
        <v>1.8</v>
      </c>
      <c r="G3267" s="283" t="s">
        <v>1370</v>
      </c>
      <c r="H3267" s="374" t="s">
        <v>31</v>
      </c>
      <c r="I3267" s="283">
        <f>E272</f>
        <v>158</v>
      </c>
      <c r="J3267" s="744" t="s">
        <v>1370</v>
      </c>
      <c r="K3267" s="283">
        <f>(F3267*I3267)</f>
        <v>284.39999999999998</v>
      </c>
      <c r="M3267" s="283">
        <v>2</v>
      </c>
      <c r="N3267" s="283" t="s">
        <v>868</v>
      </c>
      <c r="O3267" s="374" t="s">
        <v>3267</v>
      </c>
      <c r="P3267" s="283">
        <f t="shared" si="308"/>
        <v>23.1</v>
      </c>
      <c r="Q3267" s="744" t="s">
        <v>868</v>
      </c>
      <c r="R3267" s="283">
        <f t="shared" si="307"/>
        <v>46.2</v>
      </c>
      <c r="W3267" s="744"/>
    </row>
    <row r="3268" spans="6:23" ht="24" customHeight="1">
      <c r="F3268" s="283">
        <v>0.25</v>
      </c>
      <c r="G3268" s="283" t="s">
        <v>560</v>
      </c>
      <c r="H3268" s="374" t="s">
        <v>1371</v>
      </c>
      <c r="I3268" s="283">
        <f>I3243</f>
        <v>797</v>
      </c>
      <c r="J3268" s="744" t="s">
        <v>560</v>
      </c>
      <c r="K3268" s="283">
        <f>(F3268*I3268)</f>
        <v>199.25</v>
      </c>
      <c r="M3268" s="283">
        <v>2</v>
      </c>
      <c r="N3268" s="283" t="s">
        <v>868</v>
      </c>
      <c r="O3268" s="374" t="s">
        <v>3268</v>
      </c>
      <c r="P3268" s="283">
        <f t="shared" si="308"/>
        <v>49.55</v>
      </c>
      <c r="Q3268" s="744" t="s">
        <v>868</v>
      </c>
      <c r="R3268" s="283">
        <f t="shared" si="307"/>
        <v>99.1</v>
      </c>
      <c r="W3268" s="744"/>
    </row>
    <row r="3269" spans="6:23" ht="24" customHeight="1">
      <c r="F3269" s="283">
        <v>0.25</v>
      </c>
      <c r="G3269" s="283" t="s">
        <v>560</v>
      </c>
      <c r="H3269" s="374" t="s">
        <v>823</v>
      </c>
      <c r="I3269" s="283">
        <f>I3184</f>
        <v>651</v>
      </c>
      <c r="J3269" s="744" t="s">
        <v>560</v>
      </c>
      <c r="K3269" s="283">
        <f>(F3269*I3269)</f>
        <v>162.75</v>
      </c>
      <c r="M3269" s="283">
        <v>118</v>
      </c>
      <c r="N3269" s="283" t="s">
        <v>868</v>
      </c>
      <c r="O3269" s="283" t="s">
        <v>1336</v>
      </c>
      <c r="P3269" s="283">
        <f>P3235</f>
        <v>2.41</v>
      </c>
      <c r="Q3269" s="744"/>
      <c r="R3269" s="283">
        <f t="shared" si="307"/>
        <v>284.38</v>
      </c>
      <c r="W3269" s="744"/>
    </row>
    <row r="3270" spans="6:23" ht="24" customHeight="1">
      <c r="F3270" s="283">
        <v>0.4</v>
      </c>
      <c r="G3270" s="283" t="s">
        <v>560</v>
      </c>
      <c r="H3270" s="374" t="s">
        <v>1372</v>
      </c>
      <c r="I3270" s="283">
        <f>I3185</f>
        <v>534</v>
      </c>
      <c r="J3270" s="744" t="s">
        <v>560</v>
      </c>
      <c r="K3270" s="283">
        <f>(F3270*I3270)</f>
        <v>213.6</v>
      </c>
      <c r="Q3270" s="744"/>
      <c r="R3270" s="748" t="s">
        <v>1586</v>
      </c>
      <c r="W3270" s="744"/>
    </row>
    <row r="3271" spans="6:23" ht="24" customHeight="1">
      <c r="G3271" s="283" t="s">
        <v>449</v>
      </c>
      <c r="H3271" s="374" t="s">
        <v>1836</v>
      </c>
      <c r="J3271" s="744" t="s">
        <v>449</v>
      </c>
      <c r="K3271" s="283">
        <v>1.65</v>
      </c>
      <c r="O3271" s="374" t="s">
        <v>3283</v>
      </c>
      <c r="Q3271" s="744"/>
      <c r="R3271" s="283">
        <f>SUM(R3258:R3269)</f>
        <v>15605.57</v>
      </c>
      <c r="W3271" s="744"/>
    </row>
    <row r="3272" spans="6:23" ht="24" customHeight="1">
      <c r="F3272" s="283">
        <v>10</v>
      </c>
      <c r="H3272" s="374" t="s">
        <v>3391</v>
      </c>
      <c r="I3272" s="283">
        <f>I3173</f>
        <v>0</v>
      </c>
      <c r="J3272" s="744" t="s">
        <v>233</v>
      </c>
      <c r="K3272" s="283">
        <f>I3272*F3272</f>
        <v>0</v>
      </c>
      <c r="Q3272" s="744"/>
      <c r="R3272" s="748" t="s">
        <v>1586</v>
      </c>
      <c r="W3272" s="744"/>
    </row>
    <row r="3273" spans="6:23" ht="24" customHeight="1">
      <c r="J3273" s="744"/>
      <c r="K3273" s="748" t="s">
        <v>1586</v>
      </c>
      <c r="O3273" s="745" t="s">
        <v>552</v>
      </c>
      <c r="Q3273" s="750" t="s">
        <v>721</v>
      </c>
      <c r="R3273" s="751">
        <f>R3271/M3262</f>
        <v>6427.34</v>
      </c>
      <c r="W3273" s="744"/>
    </row>
    <row r="3274" spans="6:23" ht="24" customHeight="1">
      <c r="H3274" s="744" t="s">
        <v>1373</v>
      </c>
      <c r="J3274" s="744"/>
      <c r="K3274" s="283">
        <f>SUM(K3267:K3273)</f>
        <v>861.65</v>
      </c>
      <c r="M3274" s="744"/>
      <c r="N3274" s="283" t="s">
        <v>2251</v>
      </c>
      <c r="O3274" s="374" t="s">
        <v>3286</v>
      </c>
      <c r="Q3274" s="744"/>
      <c r="W3274" s="744"/>
    </row>
    <row r="3275" spans="6:23" ht="24" customHeight="1">
      <c r="J3275" s="744"/>
      <c r="K3275" s="748" t="s">
        <v>1586</v>
      </c>
      <c r="O3275" s="374" t="s">
        <v>256</v>
      </c>
      <c r="Q3275" s="744"/>
      <c r="W3275" s="744"/>
    </row>
    <row r="3276" spans="6:23" ht="24" customHeight="1">
      <c r="F3276" s="374" t="s">
        <v>975</v>
      </c>
      <c r="G3276" s="283" t="s">
        <v>975</v>
      </c>
      <c r="H3276" s="744" t="s">
        <v>1695</v>
      </c>
      <c r="I3276" s="374" t="s">
        <v>975</v>
      </c>
      <c r="J3276" s="744" t="s">
        <v>975</v>
      </c>
      <c r="K3276" s="283">
        <f>K3274/10</f>
        <v>86.17</v>
      </c>
      <c r="O3276" s="833" t="s">
        <v>3276</v>
      </c>
      <c r="Q3276" s="744"/>
      <c r="W3276" s="744"/>
    </row>
    <row r="3277" spans="6:23" ht="24" customHeight="1">
      <c r="J3277" s="744"/>
      <c r="K3277" s="748" t="s">
        <v>2055</v>
      </c>
      <c r="O3277" s="748" t="s">
        <v>1586</v>
      </c>
      <c r="Q3277" s="744"/>
      <c r="W3277" s="744"/>
    </row>
    <row r="3278" spans="6:23" ht="24" customHeight="1">
      <c r="G3278" s="751" t="s">
        <v>1887</v>
      </c>
      <c r="J3278" s="283"/>
      <c r="O3278" s="374" t="s">
        <v>3277</v>
      </c>
      <c r="P3278" s="784" t="s">
        <v>2055</v>
      </c>
      <c r="Q3278" s="803">
        <v>2.4279999999999999</v>
      </c>
      <c r="R3278" s="283" t="s">
        <v>2283</v>
      </c>
      <c r="W3278" s="744"/>
    </row>
    <row r="3279" spans="6:23" ht="24" customHeight="1">
      <c r="G3279" s="751" t="s">
        <v>1888</v>
      </c>
      <c r="J3279" s="283"/>
      <c r="O3279" s="374"/>
      <c r="P3279" s="784"/>
      <c r="Q3279" s="803"/>
      <c r="W3279" s="744"/>
    </row>
    <row r="3280" spans="6:23" ht="24" customHeight="1">
      <c r="J3280" s="283"/>
      <c r="O3280" s="374" t="s">
        <v>6134</v>
      </c>
      <c r="P3280" s="784" t="s">
        <v>2055</v>
      </c>
      <c r="Q3280" s="847">
        <v>5.1999999999999998E-2</v>
      </c>
      <c r="R3280" s="283" t="s">
        <v>2151</v>
      </c>
      <c r="W3280" s="744"/>
    </row>
    <row r="3281" spans="6:23" ht="24" customHeight="1">
      <c r="F3281" s="867">
        <v>0.10299999999999999</v>
      </c>
      <c r="G3281" s="751" t="s">
        <v>869</v>
      </c>
      <c r="H3281" s="751" t="s">
        <v>2452</v>
      </c>
      <c r="I3281" s="751">
        <f>I1103</f>
        <v>99400</v>
      </c>
      <c r="J3281" s="745" t="s">
        <v>869</v>
      </c>
      <c r="K3281" s="751">
        <f>I3281*F3281</f>
        <v>10238.200000000001</v>
      </c>
      <c r="O3281" s="374" t="s">
        <v>3259</v>
      </c>
      <c r="Q3281" s="784"/>
      <c r="W3281" s="744"/>
    </row>
    <row r="3282" spans="6:23" ht="24" customHeight="1">
      <c r="F3282" s="867">
        <v>1.32</v>
      </c>
      <c r="G3282" s="751" t="s">
        <v>609</v>
      </c>
      <c r="H3282" s="751" t="s">
        <v>1889</v>
      </c>
      <c r="I3282" s="751">
        <v>2152</v>
      </c>
      <c r="J3282" s="745" t="s">
        <v>2283</v>
      </c>
      <c r="K3282" s="751">
        <f t="shared" ref="K3282:K3291" si="309">I3282*F3282</f>
        <v>2840.64</v>
      </c>
      <c r="O3282" s="374" t="s">
        <v>3278</v>
      </c>
      <c r="P3282" s="784" t="s">
        <v>2055</v>
      </c>
      <c r="Q3282" s="875">
        <v>1.7718999999999999E-2</v>
      </c>
      <c r="W3282" s="744"/>
    </row>
    <row r="3283" spans="6:23" ht="24" customHeight="1">
      <c r="F3283" s="868">
        <v>3.3000000000000002E-2</v>
      </c>
      <c r="G3283" s="751" t="s">
        <v>869</v>
      </c>
      <c r="H3283" s="791" t="s">
        <v>937</v>
      </c>
      <c r="I3283" s="751">
        <f>AC28</f>
        <v>95000</v>
      </c>
      <c r="J3283" s="745" t="s">
        <v>869</v>
      </c>
      <c r="K3283" s="751">
        <f t="shared" si="309"/>
        <v>3135</v>
      </c>
      <c r="O3283" s="374" t="s">
        <v>3279</v>
      </c>
      <c r="P3283" s="784" t="s">
        <v>2055</v>
      </c>
      <c r="Q3283" s="875">
        <v>7.8750000000000001E-3</v>
      </c>
      <c r="R3283" s="782"/>
      <c r="W3283" s="744"/>
    </row>
    <row r="3284" spans="6:23" ht="24" customHeight="1">
      <c r="F3284" s="868">
        <v>3.0225</v>
      </c>
      <c r="G3284" s="751" t="s">
        <v>609</v>
      </c>
      <c r="H3284" s="791" t="s">
        <v>883</v>
      </c>
      <c r="I3284" s="751">
        <f>AE30</f>
        <v>1537</v>
      </c>
      <c r="J3284" s="745" t="s">
        <v>609</v>
      </c>
      <c r="K3284" s="751">
        <f t="shared" si="309"/>
        <v>4645.58</v>
      </c>
      <c r="Q3284" s="748" t="s">
        <v>1586</v>
      </c>
      <c r="W3284" s="744"/>
    </row>
    <row r="3285" spans="6:23" ht="24" customHeight="1">
      <c r="F3285" s="751">
        <v>6</v>
      </c>
      <c r="G3285" s="751" t="s">
        <v>1873</v>
      </c>
      <c r="H3285" s="751" t="s">
        <v>5889</v>
      </c>
      <c r="I3285" s="751">
        <v>214.1</v>
      </c>
      <c r="J3285" s="745" t="s">
        <v>1398</v>
      </c>
      <c r="K3285" s="751">
        <f t="shared" si="309"/>
        <v>1284.5999999999999</v>
      </c>
      <c r="Q3285" s="872">
        <v>2.5590000000000002E-2</v>
      </c>
      <c r="R3285" s="283" t="s">
        <v>2151</v>
      </c>
      <c r="W3285" s="744"/>
    </row>
    <row r="3286" spans="6:23" ht="24" customHeight="1">
      <c r="F3286" s="751">
        <v>1</v>
      </c>
      <c r="G3286" s="751" t="s">
        <v>1873</v>
      </c>
      <c r="H3286" s="751" t="s">
        <v>5890</v>
      </c>
      <c r="I3286" s="751">
        <v>1020</v>
      </c>
      <c r="J3286" s="745" t="s">
        <v>1398</v>
      </c>
      <c r="K3286" s="751">
        <f t="shared" si="309"/>
        <v>1020</v>
      </c>
      <c r="Q3286" s="748" t="s">
        <v>1586</v>
      </c>
      <c r="W3286" s="744"/>
    </row>
    <row r="3287" spans="6:23" ht="24" customHeight="1">
      <c r="F3287" s="751">
        <v>2</v>
      </c>
      <c r="G3287" s="751" t="s">
        <v>1873</v>
      </c>
      <c r="H3287" s="751" t="s">
        <v>1892</v>
      </c>
      <c r="I3287" s="751">
        <v>540</v>
      </c>
      <c r="J3287" s="745" t="s">
        <v>1398</v>
      </c>
      <c r="K3287" s="751">
        <f t="shared" si="309"/>
        <v>1080</v>
      </c>
      <c r="O3287" s="374" t="s">
        <v>3284</v>
      </c>
      <c r="Q3287" s="873">
        <v>0.58750000000000002</v>
      </c>
      <c r="R3287" s="782"/>
      <c r="W3287" s="744"/>
    </row>
    <row r="3288" spans="6:23" ht="24" customHeight="1">
      <c r="F3288" s="751">
        <v>2</v>
      </c>
      <c r="G3288" s="751" t="s">
        <v>1873</v>
      </c>
      <c r="H3288" s="751" t="s">
        <v>1893</v>
      </c>
      <c r="I3288" s="751">
        <v>764</v>
      </c>
      <c r="J3288" s="745" t="s">
        <v>1398</v>
      </c>
      <c r="K3288" s="751">
        <f t="shared" si="309"/>
        <v>1528</v>
      </c>
      <c r="O3288" s="374" t="s">
        <v>3285</v>
      </c>
      <c r="Q3288" s="873">
        <v>0.28129999999999999</v>
      </c>
      <c r="R3288" s="782"/>
      <c r="W3288" s="744"/>
    </row>
    <row r="3289" spans="6:23" ht="24" customHeight="1">
      <c r="F3289" s="751">
        <v>1</v>
      </c>
      <c r="G3289" s="751" t="s">
        <v>1873</v>
      </c>
      <c r="H3289" s="751" t="s">
        <v>1894</v>
      </c>
      <c r="I3289" s="751">
        <v>985</v>
      </c>
      <c r="J3289" s="745" t="s">
        <v>1398</v>
      </c>
      <c r="K3289" s="751">
        <f t="shared" si="309"/>
        <v>985</v>
      </c>
      <c r="O3289" s="374"/>
      <c r="Q3289" s="748" t="s">
        <v>1586</v>
      </c>
      <c r="R3289" s="782"/>
      <c r="W3289" s="744"/>
    </row>
    <row r="3290" spans="6:23" ht="24" customHeight="1">
      <c r="F3290" s="751">
        <v>2</v>
      </c>
      <c r="G3290" s="751" t="s">
        <v>1873</v>
      </c>
      <c r="H3290" s="751" t="s">
        <v>1895</v>
      </c>
      <c r="I3290" s="751">
        <v>450</v>
      </c>
      <c r="J3290" s="745" t="s">
        <v>1398</v>
      </c>
      <c r="K3290" s="751">
        <f t="shared" si="309"/>
        <v>900</v>
      </c>
      <c r="O3290" s="374"/>
      <c r="Q3290" s="873">
        <v>0.86880000000000002</v>
      </c>
      <c r="R3290" s="751" t="s">
        <v>2283</v>
      </c>
      <c r="W3290" s="744"/>
    </row>
    <row r="3291" spans="6:23" ht="24" customHeight="1">
      <c r="F3291" s="751">
        <v>0</v>
      </c>
      <c r="G3291" s="751" t="s">
        <v>1432</v>
      </c>
      <c r="H3291" s="751" t="s">
        <v>6135</v>
      </c>
      <c r="I3291" s="751">
        <f>I962</f>
        <v>2.41</v>
      </c>
      <c r="J3291" s="745" t="s">
        <v>1398</v>
      </c>
      <c r="K3291" s="844">
        <f t="shared" si="309"/>
        <v>0</v>
      </c>
      <c r="Q3291" s="748" t="s">
        <v>1586</v>
      </c>
      <c r="R3291" s="748"/>
      <c r="W3291" s="744"/>
    </row>
    <row r="3292" spans="6:23" ht="24" customHeight="1">
      <c r="F3292" s="751"/>
      <c r="G3292" s="751"/>
      <c r="H3292" s="751" t="s">
        <v>1896</v>
      </c>
      <c r="I3292" s="751"/>
      <c r="J3292" s="745"/>
      <c r="K3292" s="751">
        <f>SUM(K3281:K3291)</f>
        <v>27657.02</v>
      </c>
      <c r="M3292" s="782">
        <v>5.1999999999999998E-2</v>
      </c>
      <c r="N3292" s="283" t="s">
        <v>869</v>
      </c>
      <c r="O3292" s="374" t="s">
        <v>308</v>
      </c>
      <c r="P3292" s="283">
        <f>P3189</f>
        <v>111600</v>
      </c>
      <c r="Q3292" s="744" t="s">
        <v>869</v>
      </c>
      <c r="R3292" s="283">
        <f>P3292*M3292</f>
        <v>5803.2</v>
      </c>
      <c r="W3292" s="744"/>
    </row>
    <row r="3293" spans="6:23" ht="24" customHeight="1">
      <c r="F3293" s="751"/>
      <c r="G3293" s="751"/>
      <c r="H3293" s="751"/>
      <c r="I3293" s="751"/>
      <c r="J3293" s="745"/>
      <c r="K3293" s="844" t="s">
        <v>146</v>
      </c>
      <c r="M3293" s="782">
        <v>2.5590000000000002E-2</v>
      </c>
      <c r="N3293" s="283" t="s">
        <v>869</v>
      </c>
      <c r="O3293" s="374" t="s">
        <v>309</v>
      </c>
      <c r="P3293" s="283">
        <f>P3190</f>
        <v>99400</v>
      </c>
      <c r="Q3293" s="744" t="s">
        <v>869</v>
      </c>
      <c r="R3293" s="283">
        <f t="shared" ref="R3293:R3301" si="310">P3293*M3293</f>
        <v>2543.65</v>
      </c>
      <c r="W3293" s="744"/>
    </row>
    <row r="3294" spans="6:23" ht="24" customHeight="1">
      <c r="F3294" s="751"/>
      <c r="G3294" s="751"/>
      <c r="H3294" s="751" t="s">
        <v>1897</v>
      </c>
      <c r="I3294" s="751"/>
      <c r="J3294" s="745"/>
      <c r="K3294" s="751">
        <f>K3292/F3284</f>
        <v>9150.3799999999992</v>
      </c>
      <c r="M3294" s="283">
        <v>0.87</v>
      </c>
      <c r="N3294" s="283" t="s">
        <v>609</v>
      </c>
      <c r="O3294" s="374" t="s">
        <v>2091</v>
      </c>
      <c r="P3294" s="283">
        <f>C784</f>
        <v>387.4</v>
      </c>
      <c r="Q3294" s="744" t="s">
        <v>869</v>
      </c>
      <c r="R3294" s="283">
        <f t="shared" si="310"/>
        <v>337.04</v>
      </c>
      <c r="W3294" s="744"/>
    </row>
    <row r="3295" spans="6:23" ht="24" customHeight="1">
      <c r="F3295" s="751"/>
      <c r="G3295" s="751"/>
      <c r="H3295" s="751"/>
      <c r="I3295" s="751"/>
      <c r="J3295" s="745"/>
      <c r="K3295" s="844" t="s">
        <v>146</v>
      </c>
      <c r="M3295" s="783">
        <v>2.4279999999999999</v>
      </c>
      <c r="N3295" s="283" t="s">
        <v>609</v>
      </c>
      <c r="O3295" s="374" t="s">
        <v>447</v>
      </c>
      <c r="P3295" s="283">
        <f>D30</f>
        <v>1281</v>
      </c>
      <c r="Q3295" s="744" t="s">
        <v>609</v>
      </c>
      <c r="R3295" s="283">
        <f t="shared" si="310"/>
        <v>3110.27</v>
      </c>
      <c r="W3295" s="744"/>
    </row>
    <row r="3296" spans="6:23" ht="24" customHeight="1">
      <c r="J3296" s="283"/>
      <c r="M3296" s="283">
        <v>4</v>
      </c>
      <c r="N3296" s="283" t="s">
        <v>769</v>
      </c>
      <c r="O3296" s="374" t="s">
        <v>3264</v>
      </c>
      <c r="P3296" s="283">
        <f t="shared" ref="P3296:P3301" si="311">P3229</f>
        <v>57.65</v>
      </c>
      <c r="Q3296" s="744" t="s">
        <v>868</v>
      </c>
      <c r="R3296" s="283">
        <f t="shared" si="310"/>
        <v>230.6</v>
      </c>
      <c r="W3296" s="744"/>
    </row>
    <row r="3297" spans="6:23" ht="24" customHeight="1">
      <c r="J3297" s="283"/>
      <c r="M3297" s="283">
        <v>8</v>
      </c>
      <c r="N3297" s="283" t="s">
        <v>868</v>
      </c>
      <c r="O3297" s="374" t="s">
        <v>1464</v>
      </c>
      <c r="P3297" s="283">
        <f t="shared" si="311"/>
        <v>89.6</v>
      </c>
      <c r="Q3297" s="744" t="s">
        <v>868</v>
      </c>
      <c r="R3297" s="283">
        <f t="shared" si="310"/>
        <v>716.8</v>
      </c>
      <c r="W3297" s="744"/>
    </row>
    <row r="3298" spans="6:23" ht="24" customHeight="1">
      <c r="G3298" s="283" t="s">
        <v>316</v>
      </c>
      <c r="H3298" s="744" t="s">
        <v>1743</v>
      </c>
      <c r="M3298" s="283">
        <v>4</v>
      </c>
      <c r="N3298" s="283" t="s">
        <v>868</v>
      </c>
      <c r="O3298" s="374" t="s">
        <v>3265</v>
      </c>
      <c r="P3298" s="283">
        <f t="shared" si="311"/>
        <v>97.85</v>
      </c>
      <c r="Q3298" s="744" t="s">
        <v>868</v>
      </c>
      <c r="R3298" s="283">
        <f t="shared" si="310"/>
        <v>391.4</v>
      </c>
      <c r="W3298" s="744"/>
    </row>
    <row r="3299" spans="6:23" ht="24" customHeight="1">
      <c r="H3299" s="744" t="s">
        <v>1781</v>
      </c>
      <c r="M3299" s="283">
        <v>1</v>
      </c>
      <c r="N3299" s="283" t="s">
        <v>868</v>
      </c>
      <c r="O3299" s="374" t="s">
        <v>3266</v>
      </c>
      <c r="P3299" s="283">
        <f t="shared" si="311"/>
        <v>209.9</v>
      </c>
      <c r="Q3299" s="744" t="s">
        <v>868</v>
      </c>
      <c r="R3299" s="283">
        <f t="shared" si="310"/>
        <v>209.9</v>
      </c>
      <c r="W3299" s="744"/>
    </row>
    <row r="3300" spans="6:23" ht="24" customHeight="1">
      <c r="F3300" s="782">
        <v>6.5000000000000002E-2</v>
      </c>
      <c r="G3300" s="283" t="s">
        <v>869</v>
      </c>
      <c r="H3300" s="374" t="s">
        <v>2073</v>
      </c>
      <c r="I3300" s="283">
        <f>I860</f>
        <v>7888.83</v>
      </c>
      <c r="J3300" s="374" t="s">
        <v>869</v>
      </c>
      <c r="K3300" s="283">
        <f>I3300*F3300</f>
        <v>512.77</v>
      </c>
      <c r="M3300" s="283">
        <v>2</v>
      </c>
      <c r="N3300" s="283" t="s">
        <v>868</v>
      </c>
      <c r="O3300" s="374" t="s">
        <v>3267</v>
      </c>
      <c r="P3300" s="283">
        <f t="shared" si="311"/>
        <v>23.1</v>
      </c>
      <c r="Q3300" s="744" t="s">
        <v>868</v>
      </c>
      <c r="R3300" s="283">
        <f t="shared" si="310"/>
        <v>46.2</v>
      </c>
      <c r="W3300" s="744"/>
    </row>
    <row r="3301" spans="6:23" ht="24" customHeight="1">
      <c r="F3301" s="793">
        <v>8.4499999999999993</v>
      </c>
      <c r="G3301" s="283" t="s">
        <v>1645</v>
      </c>
      <c r="H3301" s="374" t="s">
        <v>2074</v>
      </c>
      <c r="I3301" s="283">
        <f t="shared" ref="I3301:I3311" si="312">I861</f>
        <v>88873.5</v>
      </c>
      <c r="J3301" s="374" t="s">
        <v>861</v>
      </c>
      <c r="K3301" s="283">
        <f>I3301*F3301/1000</f>
        <v>750.98</v>
      </c>
      <c r="M3301" s="283">
        <v>2</v>
      </c>
      <c r="N3301" s="283" t="s">
        <v>868</v>
      </c>
      <c r="O3301" s="374" t="s">
        <v>3268</v>
      </c>
      <c r="P3301" s="283">
        <f t="shared" si="311"/>
        <v>49.55</v>
      </c>
      <c r="Q3301" s="744" t="s">
        <v>868</v>
      </c>
      <c r="R3301" s="283">
        <f t="shared" si="310"/>
        <v>99.1</v>
      </c>
      <c r="W3301" s="744"/>
    </row>
    <row r="3302" spans="6:23" ht="24" customHeight="1">
      <c r="F3302" s="283">
        <v>3</v>
      </c>
      <c r="G3302" s="283" t="s">
        <v>868</v>
      </c>
      <c r="H3302" s="374" t="s">
        <v>1186</v>
      </c>
      <c r="I3302" s="283">
        <f t="shared" si="312"/>
        <v>14.8</v>
      </c>
      <c r="J3302" s="374" t="s">
        <v>868</v>
      </c>
      <c r="K3302" s="283">
        <f t="shared" ref="K3302:K3309" si="313">I3302*F3302</f>
        <v>44.4</v>
      </c>
      <c r="O3302" s="283" t="s">
        <v>1336</v>
      </c>
      <c r="Q3302" s="744"/>
      <c r="R3302" s="784">
        <f>R3200</f>
        <v>284.38</v>
      </c>
      <c r="W3302" s="744"/>
    </row>
    <row r="3303" spans="6:23" ht="24" customHeight="1">
      <c r="F3303" s="283">
        <v>12</v>
      </c>
      <c r="G3303" s="283" t="s">
        <v>868</v>
      </c>
      <c r="H3303" s="374" t="s">
        <v>1187</v>
      </c>
      <c r="I3303" s="283">
        <f t="shared" si="312"/>
        <v>2</v>
      </c>
      <c r="J3303" s="374" t="s">
        <v>868</v>
      </c>
      <c r="K3303" s="283">
        <f t="shared" si="313"/>
        <v>24</v>
      </c>
      <c r="Q3303" s="744"/>
      <c r="R3303" s="748" t="s">
        <v>1586</v>
      </c>
      <c r="W3303" s="744"/>
    </row>
    <row r="3304" spans="6:23" ht="24" customHeight="1">
      <c r="F3304" s="283">
        <v>2</v>
      </c>
      <c r="G3304" s="283" t="s">
        <v>868</v>
      </c>
      <c r="H3304" s="374" t="s">
        <v>1188</v>
      </c>
      <c r="I3304" s="283">
        <f t="shared" si="312"/>
        <v>4.9000000000000004</v>
      </c>
      <c r="J3304" s="374" t="s">
        <v>868</v>
      </c>
      <c r="K3304" s="283">
        <f t="shared" si="313"/>
        <v>9.8000000000000007</v>
      </c>
      <c r="O3304" s="374" t="s">
        <v>3283</v>
      </c>
      <c r="Q3304" s="744"/>
      <c r="R3304" s="283">
        <f>SUM(R3292:R3302)</f>
        <v>13772.54</v>
      </c>
      <c r="W3304" s="744"/>
    </row>
    <row r="3305" spans="6:23" ht="24" customHeight="1">
      <c r="F3305" s="283">
        <v>6</v>
      </c>
      <c r="G3305" s="283" t="s">
        <v>868</v>
      </c>
      <c r="H3305" s="374" t="s">
        <v>2220</v>
      </c>
      <c r="I3305" s="283">
        <f t="shared" si="312"/>
        <v>4.45</v>
      </c>
      <c r="J3305" s="374" t="s">
        <v>868</v>
      </c>
      <c r="K3305" s="283">
        <f t="shared" si="313"/>
        <v>26.7</v>
      </c>
      <c r="Q3305" s="744"/>
      <c r="R3305" s="748" t="s">
        <v>1586</v>
      </c>
      <c r="W3305" s="744"/>
    </row>
    <row r="3306" spans="6:23" ht="24" customHeight="1">
      <c r="F3306" s="283">
        <v>1</v>
      </c>
      <c r="G3306" s="283" t="s">
        <v>868</v>
      </c>
      <c r="H3306" s="374" t="s">
        <v>1193</v>
      </c>
      <c r="I3306" s="283">
        <f t="shared" si="312"/>
        <v>999</v>
      </c>
      <c r="J3306" s="374" t="s">
        <v>868</v>
      </c>
      <c r="K3306" s="283">
        <f t="shared" si="313"/>
        <v>999</v>
      </c>
      <c r="O3306" s="745" t="s">
        <v>552</v>
      </c>
      <c r="Q3306" s="750" t="s">
        <v>721</v>
      </c>
      <c r="R3306" s="751">
        <f>R3304/M3295</f>
        <v>5672.38</v>
      </c>
      <c r="W3306" s="744"/>
    </row>
    <row r="3307" spans="6:23" ht="24" customHeight="1">
      <c r="F3307" s="283">
        <v>1</v>
      </c>
      <c r="G3307" s="283" t="s">
        <v>868</v>
      </c>
      <c r="H3307" s="374" t="s">
        <v>1194</v>
      </c>
      <c r="I3307" s="283">
        <f t="shared" si="312"/>
        <v>651</v>
      </c>
      <c r="J3307" s="374" t="s">
        <v>868</v>
      </c>
      <c r="K3307" s="283">
        <f t="shared" si="313"/>
        <v>651</v>
      </c>
      <c r="M3307" s="744"/>
      <c r="N3307" s="283" t="s">
        <v>2251</v>
      </c>
      <c r="O3307" s="374" t="s">
        <v>2381</v>
      </c>
      <c r="Q3307" s="744"/>
      <c r="W3307" s="744"/>
    </row>
    <row r="3308" spans="6:23" ht="24" customHeight="1">
      <c r="F3308" s="283">
        <v>1</v>
      </c>
      <c r="G3308" s="283" t="s">
        <v>868</v>
      </c>
      <c r="H3308" s="374" t="s">
        <v>1195</v>
      </c>
      <c r="I3308" s="283">
        <f t="shared" si="312"/>
        <v>25</v>
      </c>
      <c r="J3308" s="374" t="s">
        <v>868</v>
      </c>
      <c r="K3308" s="283">
        <f t="shared" si="313"/>
        <v>25</v>
      </c>
      <c r="O3308" s="374" t="s">
        <v>256</v>
      </c>
      <c r="Q3308" s="744"/>
      <c r="W3308" s="744"/>
    </row>
    <row r="3309" spans="6:23" ht="24" customHeight="1">
      <c r="F3309" s="283">
        <v>0.5</v>
      </c>
      <c r="G3309" s="283" t="s">
        <v>868</v>
      </c>
      <c r="H3309" s="374" t="s">
        <v>1196</v>
      </c>
      <c r="I3309" s="283">
        <f t="shared" si="312"/>
        <v>534</v>
      </c>
      <c r="J3309" s="374" t="s">
        <v>868</v>
      </c>
      <c r="K3309" s="283">
        <f t="shared" si="313"/>
        <v>267</v>
      </c>
      <c r="O3309" s="833" t="s">
        <v>2816</v>
      </c>
      <c r="Q3309" s="744"/>
      <c r="W3309" s="744"/>
    </row>
    <row r="3310" spans="6:23" ht="24" customHeight="1">
      <c r="G3310" s="283" t="s">
        <v>449</v>
      </c>
      <c r="H3310" s="374" t="s">
        <v>2139</v>
      </c>
      <c r="I3310" s="283">
        <f t="shared" si="312"/>
        <v>0</v>
      </c>
      <c r="J3310" s="374" t="s">
        <v>449</v>
      </c>
      <c r="K3310" s="283">
        <v>2.1</v>
      </c>
      <c r="O3310" s="748" t="s">
        <v>1586</v>
      </c>
      <c r="Q3310" s="744"/>
      <c r="W3310" s="744"/>
    </row>
    <row r="3311" spans="6:23" ht="24" customHeight="1">
      <c r="I3311" s="283">
        <f t="shared" si="312"/>
        <v>0</v>
      </c>
      <c r="K3311" s="748" t="s">
        <v>1586</v>
      </c>
      <c r="O3311" s="374" t="s">
        <v>3258</v>
      </c>
      <c r="P3311" s="784" t="s">
        <v>2055</v>
      </c>
      <c r="Q3311" s="803">
        <v>3.1219999999999999</v>
      </c>
      <c r="R3311" s="374" t="s">
        <v>2283</v>
      </c>
      <c r="W3311" s="744"/>
    </row>
    <row r="3312" spans="6:23" ht="24" customHeight="1">
      <c r="H3312" s="757" t="s">
        <v>283</v>
      </c>
      <c r="K3312" s="751">
        <f>SUM(K3300:K3311)</f>
        <v>3312.75</v>
      </c>
      <c r="O3312" s="374"/>
      <c r="P3312" s="784"/>
      <c r="Q3312" s="803"/>
      <c r="R3312" s="374"/>
      <c r="W3312" s="744"/>
    </row>
    <row r="3313" spans="6:23" ht="24" customHeight="1">
      <c r="K3313" s="748" t="s">
        <v>1586</v>
      </c>
      <c r="O3313" s="374" t="s">
        <v>6134</v>
      </c>
      <c r="P3313" s="784" t="s">
        <v>2055</v>
      </c>
      <c r="Q3313" s="847">
        <v>5.1999999999999998E-2</v>
      </c>
      <c r="R3313" s="374" t="s">
        <v>2151</v>
      </c>
      <c r="W3313" s="744"/>
    </row>
    <row r="3314" spans="6:23" ht="24" customHeight="1">
      <c r="J3314" s="283"/>
      <c r="O3314" s="374" t="s">
        <v>3259</v>
      </c>
      <c r="Q3314" s="784"/>
      <c r="R3314" s="374"/>
      <c r="W3314" s="744"/>
    </row>
    <row r="3315" spans="6:23" ht="24" customHeight="1">
      <c r="J3315" s="283"/>
      <c r="O3315" s="374" t="s">
        <v>3260</v>
      </c>
      <c r="P3315" s="784" t="s">
        <v>2055</v>
      </c>
      <c r="Q3315" s="871">
        <v>2.2780000000000002E-2</v>
      </c>
      <c r="R3315" s="374"/>
      <c r="W3315" s="744"/>
    </row>
    <row r="3316" spans="6:23" ht="24" customHeight="1">
      <c r="G3316" s="751" t="s">
        <v>1744</v>
      </c>
      <c r="J3316" s="283"/>
      <c r="O3316" s="374" t="s">
        <v>2817</v>
      </c>
      <c r="P3316" s="784" t="s">
        <v>2055</v>
      </c>
      <c r="Q3316" s="875">
        <v>1.0125E-2</v>
      </c>
      <c r="R3316" s="796"/>
      <c r="W3316" s="744"/>
    </row>
    <row r="3317" spans="6:23" ht="24" customHeight="1">
      <c r="G3317" s="751" t="s">
        <v>1745</v>
      </c>
      <c r="J3317" s="283"/>
      <c r="Q3317" s="874" t="s">
        <v>3053</v>
      </c>
      <c r="R3317" s="374"/>
      <c r="W3317" s="744"/>
    </row>
    <row r="3318" spans="6:23" ht="24" customHeight="1">
      <c r="J3318" s="283"/>
      <c r="Q3318" s="872">
        <v>3.2910000000000002E-2</v>
      </c>
      <c r="R3318" s="374" t="s">
        <v>2151</v>
      </c>
      <c r="W3318" s="744"/>
    </row>
    <row r="3319" spans="6:23" ht="24" customHeight="1">
      <c r="F3319" s="868">
        <v>2.6159999999999999E-2</v>
      </c>
      <c r="G3319" s="751" t="s">
        <v>869</v>
      </c>
      <c r="H3319" s="751" t="s">
        <v>3124</v>
      </c>
      <c r="I3319" s="751">
        <f>AC26</f>
        <v>111600</v>
      </c>
      <c r="J3319" s="745" t="s">
        <v>869</v>
      </c>
      <c r="K3319" s="751">
        <f>I3319*F3319</f>
        <v>2919.46</v>
      </c>
      <c r="Q3319" s="874" t="s">
        <v>3053</v>
      </c>
      <c r="R3319" s="374"/>
      <c r="W3319" s="744"/>
    </row>
    <row r="3320" spans="6:23" ht="24" customHeight="1">
      <c r="F3320" s="868">
        <v>4.7809999999999998E-2</v>
      </c>
      <c r="G3320" s="751" t="s">
        <v>869</v>
      </c>
      <c r="H3320" s="751" t="s">
        <v>2488</v>
      </c>
      <c r="I3320" s="751">
        <f>AC27</f>
        <v>99400</v>
      </c>
      <c r="J3320" s="745" t="s">
        <v>869</v>
      </c>
      <c r="K3320" s="751">
        <f t="shared" ref="K3320:K3328" si="314">I3320*F3320</f>
        <v>4752.3100000000004</v>
      </c>
      <c r="O3320" s="374" t="s">
        <v>3272</v>
      </c>
      <c r="Q3320" s="847">
        <v>0.94</v>
      </c>
      <c r="R3320" s="796" t="s">
        <v>2283</v>
      </c>
      <c r="W3320" s="744"/>
    </row>
    <row r="3321" spans="6:23" ht="31.5" customHeight="1">
      <c r="F3321" s="877">
        <v>4.5879999999999997E-2</v>
      </c>
      <c r="G3321" s="878" t="s">
        <v>869</v>
      </c>
      <c r="H3321" s="869" t="s">
        <v>5891</v>
      </c>
      <c r="I3321" s="878">
        <v>107000</v>
      </c>
      <c r="J3321" s="282" t="s">
        <v>869</v>
      </c>
      <c r="K3321" s="878">
        <f t="shared" si="314"/>
        <v>4909.16</v>
      </c>
      <c r="O3321" s="374" t="s">
        <v>3287</v>
      </c>
      <c r="Q3321" s="847">
        <v>0.45</v>
      </c>
      <c r="R3321" s="796" t="s">
        <v>2151</v>
      </c>
      <c r="W3321" s="744"/>
    </row>
    <row r="3322" spans="6:23" ht="24" customHeight="1">
      <c r="F3322" s="868">
        <v>3.95</v>
      </c>
      <c r="G3322" s="751" t="s">
        <v>609</v>
      </c>
      <c r="H3322" s="751" t="s">
        <v>883</v>
      </c>
      <c r="I3322" s="751">
        <f>P3262</f>
        <v>1537</v>
      </c>
      <c r="J3322" s="745" t="s">
        <v>609</v>
      </c>
      <c r="K3322" s="751">
        <f t="shared" si="314"/>
        <v>6071.15</v>
      </c>
      <c r="O3322" s="374" t="s">
        <v>3274</v>
      </c>
      <c r="Q3322" s="847">
        <v>7.9</v>
      </c>
      <c r="R3322" s="796" t="s">
        <v>826</v>
      </c>
      <c r="W3322" s="744"/>
    </row>
    <row r="3323" spans="6:23" ht="24" customHeight="1">
      <c r="F3323" s="751">
        <v>2</v>
      </c>
      <c r="G3323" s="751" t="s">
        <v>1873</v>
      </c>
      <c r="H3323" s="751" t="s">
        <v>2123</v>
      </c>
      <c r="I3323" s="751">
        <f t="shared" ref="I3323:I3328" si="315">P3263</f>
        <v>57.65</v>
      </c>
      <c r="J3323" s="745" t="s">
        <v>1398</v>
      </c>
      <c r="K3323" s="751">
        <f t="shared" si="314"/>
        <v>115.3</v>
      </c>
      <c r="Q3323" s="748"/>
      <c r="R3323" s="748"/>
      <c r="W3323" s="744"/>
    </row>
    <row r="3324" spans="6:23" ht="24" customHeight="1">
      <c r="F3324" s="751">
        <v>6</v>
      </c>
      <c r="G3324" s="751" t="s">
        <v>1873</v>
      </c>
      <c r="H3324" s="751" t="s">
        <v>1098</v>
      </c>
      <c r="I3324" s="751">
        <f t="shared" si="315"/>
        <v>89.6</v>
      </c>
      <c r="J3324" s="745" t="s">
        <v>1398</v>
      </c>
      <c r="K3324" s="751">
        <f t="shared" si="314"/>
        <v>537.6</v>
      </c>
      <c r="M3324" s="782">
        <v>5.1999999999999998E-2</v>
      </c>
      <c r="N3324" s="283" t="s">
        <v>869</v>
      </c>
      <c r="O3324" s="374" t="s">
        <v>308</v>
      </c>
      <c r="P3324" s="283">
        <f>P3222</f>
        <v>111600</v>
      </c>
      <c r="Q3324" s="744" t="s">
        <v>869</v>
      </c>
      <c r="R3324" s="283">
        <f>P3324*M3324</f>
        <v>5803.2</v>
      </c>
      <c r="W3324" s="744"/>
    </row>
    <row r="3325" spans="6:23" ht="24" customHeight="1">
      <c r="F3325" s="751">
        <v>4</v>
      </c>
      <c r="G3325" s="751" t="s">
        <v>1873</v>
      </c>
      <c r="H3325" s="751" t="s">
        <v>1348</v>
      </c>
      <c r="I3325" s="751">
        <f t="shared" si="315"/>
        <v>97.85</v>
      </c>
      <c r="J3325" s="745" t="s">
        <v>1398</v>
      </c>
      <c r="K3325" s="751">
        <f t="shared" si="314"/>
        <v>391.4</v>
      </c>
      <c r="M3325" s="782">
        <v>3.2910000000000002E-2</v>
      </c>
      <c r="N3325" s="283" t="s">
        <v>869</v>
      </c>
      <c r="O3325" s="374" t="s">
        <v>309</v>
      </c>
      <c r="P3325" s="283">
        <f>P3223</f>
        <v>99400</v>
      </c>
      <c r="Q3325" s="744" t="s">
        <v>869</v>
      </c>
      <c r="R3325" s="283">
        <f t="shared" ref="R3325:R3336" si="316">P3325*M3325</f>
        <v>3271.25</v>
      </c>
      <c r="W3325" s="744"/>
    </row>
    <row r="3326" spans="6:23" ht="24" customHeight="1">
      <c r="F3326" s="751">
        <v>1</v>
      </c>
      <c r="G3326" s="751" t="s">
        <v>1873</v>
      </c>
      <c r="H3326" s="751" t="s">
        <v>1349</v>
      </c>
      <c r="I3326" s="751">
        <f t="shared" si="315"/>
        <v>209.9</v>
      </c>
      <c r="J3326" s="745" t="s">
        <v>1398</v>
      </c>
      <c r="K3326" s="751">
        <f t="shared" si="314"/>
        <v>209.9</v>
      </c>
      <c r="M3326" s="782">
        <v>0.45</v>
      </c>
      <c r="N3326" s="283" t="s">
        <v>609</v>
      </c>
      <c r="O3326" s="374" t="s">
        <v>2091</v>
      </c>
      <c r="P3326" s="283">
        <f>P3294</f>
        <v>387.4</v>
      </c>
      <c r="Q3326" s="744" t="s">
        <v>869</v>
      </c>
      <c r="R3326" s="283">
        <f t="shared" si="316"/>
        <v>174.33</v>
      </c>
      <c r="W3326" s="744"/>
    </row>
    <row r="3327" spans="6:23" ht="24" customHeight="1">
      <c r="F3327" s="751">
        <v>2</v>
      </c>
      <c r="G3327" s="751" t="s">
        <v>1873</v>
      </c>
      <c r="H3327" s="751" t="s">
        <v>3743</v>
      </c>
      <c r="I3327" s="751">
        <f t="shared" si="315"/>
        <v>23.1</v>
      </c>
      <c r="J3327" s="745" t="s">
        <v>1398</v>
      </c>
      <c r="K3327" s="751">
        <f t="shared" si="314"/>
        <v>46.2</v>
      </c>
      <c r="M3327" s="783">
        <v>0.94</v>
      </c>
      <c r="N3327" s="283" t="s">
        <v>609</v>
      </c>
      <c r="O3327" s="374" t="s">
        <v>3273</v>
      </c>
      <c r="P3327" s="283">
        <f t="shared" ref="P3327:P3335" si="317">P3226</f>
        <v>562.5</v>
      </c>
      <c r="Q3327" s="744" t="s">
        <v>609</v>
      </c>
      <c r="R3327" s="283">
        <f t="shared" si="316"/>
        <v>528.75</v>
      </c>
      <c r="W3327" s="744"/>
    </row>
    <row r="3328" spans="6:23" ht="24" customHeight="1">
      <c r="F3328" s="751">
        <v>2</v>
      </c>
      <c r="G3328" s="751" t="s">
        <v>1873</v>
      </c>
      <c r="H3328" s="751" t="s">
        <v>1982</v>
      </c>
      <c r="I3328" s="751">
        <f t="shared" si="315"/>
        <v>49.55</v>
      </c>
      <c r="J3328" s="745" t="s">
        <v>1398</v>
      </c>
      <c r="K3328" s="751">
        <f t="shared" si="314"/>
        <v>99.1</v>
      </c>
      <c r="M3328" s="783">
        <v>7.9</v>
      </c>
      <c r="N3328" s="283" t="s">
        <v>1771</v>
      </c>
      <c r="O3328" s="374" t="s">
        <v>3275</v>
      </c>
      <c r="P3328" s="283">
        <f t="shared" si="317"/>
        <v>15.45</v>
      </c>
      <c r="Q3328" s="744"/>
      <c r="R3328" s="283">
        <f t="shared" si="316"/>
        <v>122.06</v>
      </c>
      <c r="W3328" s="744"/>
    </row>
    <row r="3329" spans="6:23" ht="24" customHeight="1">
      <c r="F3329" s="751">
        <v>10</v>
      </c>
      <c r="G3329" s="751"/>
      <c r="H3329" s="751" t="s">
        <v>1899</v>
      </c>
      <c r="I3329" s="751">
        <f>I3291</f>
        <v>2.41</v>
      </c>
      <c r="J3329" s="745"/>
      <c r="K3329" s="751">
        <v>24.3</v>
      </c>
      <c r="M3329" s="783">
        <v>3.1219999999999999</v>
      </c>
      <c r="N3329" s="283" t="s">
        <v>609</v>
      </c>
      <c r="O3329" s="374" t="s">
        <v>447</v>
      </c>
      <c r="P3329" s="283">
        <f t="shared" si="317"/>
        <v>0</v>
      </c>
      <c r="Q3329" s="744" t="s">
        <v>609</v>
      </c>
      <c r="R3329" s="283">
        <f t="shared" si="316"/>
        <v>0</v>
      </c>
      <c r="W3329" s="744"/>
    </row>
    <row r="3330" spans="6:23" ht="24" customHeight="1">
      <c r="F3330" s="751"/>
      <c r="G3330" s="751"/>
      <c r="H3330" s="751" t="s">
        <v>6030</v>
      </c>
      <c r="I3330" s="751"/>
      <c r="J3330" s="745"/>
      <c r="K3330" s="751">
        <f>SUM(K3319:K3329)</f>
        <v>20075.88</v>
      </c>
      <c r="M3330" s="283">
        <v>4</v>
      </c>
      <c r="N3330" s="283" t="s">
        <v>769</v>
      </c>
      <c r="O3330" s="374" t="s">
        <v>3264</v>
      </c>
      <c r="P3330" s="283">
        <f t="shared" si="317"/>
        <v>57.65</v>
      </c>
      <c r="Q3330" s="744" t="s">
        <v>868</v>
      </c>
      <c r="R3330" s="283">
        <f t="shared" si="316"/>
        <v>230.6</v>
      </c>
      <c r="W3330" s="744"/>
    </row>
    <row r="3331" spans="6:23" ht="24" customHeight="1">
      <c r="F3331" s="751"/>
      <c r="G3331" s="751"/>
      <c r="H3331" s="751"/>
      <c r="I3331" s="751"/>
      <c r="J3331" s="745"/>
      <c r="K3331" s="844" t="s">
        <v>146</v>
      </c>
      <c r="M3331" s="283">
        <v>8</v>
      </c>
      <c r="N3331" s="283" t="s">
        <v>868</v>
      </c>
      <c r="O3331" s="374" t="s">
        <v>1464</v>
      </c>
      <c r="P3331" s="283">
        <f t="shared" si="317"/>
        <v>89.6</v>
      </c>
      <c r="Q3331" s="744" t="s">
        <v>868</v>
      </c>
      <c r="R3331" s="283">
        <f t="shared" si="316"/>
        <v>716.8</v>
      </c>
      <c r="W3331" s="744"/>
    </row>
    <row r="3332" spans="6:23" ht="24" customHeight="1">
      <c r="F3332" s="751"/>
      <c r="G3332" s="751"/>
      <c r="H3332" s="751" t="s">
        <v>552</v>
      </c>
      <c r="I3332" s="751"/>
      <c r="J3332" s="745"/>
      <c r="K3332" s="751">
        <f>K3330/F3322</f>
        <v>5082.5</v>
      </c>
      <c r="M3332" s="283">
        <v>4</v>
      </c>
      <c r="N3332" s="283" t="s">
        <v>868</v>
      </c>
      <c r="O3332" s="374" t="s">
        <v>3265</v>
      </c>
      <c r="P3332" s="283">
        <f t="shared" si="317"/>
        <v>97.85</v>
      </c>
      <c r="Q3332" s="744" t="s">
        <v>868</v>
      </c>
      <c r="R3332" s="283">
        <f t="shared" si="316"/>
        <v>391.4</v>
      </c>
      <c r="W3332" s="744"/>
    </row>
    <row r="3333" spans="6:23" ht="24" customHeight="1">
      <c r="F3333" s="751"/>
      <c r="G3333" s="751"/>
      <c r="H3333" s="751"/>
      <c r="I3333" s="751"/>
      <c r="J3333" s="745"/>
      <c r="K3333" s="844" t="s">
        <v>146</v>
      </c>
      <c r="M3333" s="283">
        <v>1</v>
      </c>
      <c r="N3333" s="283" t="s">
        <v>868</v>
      </c>
      <c r="O3333" s="374" t="s">
        <v>3266</v>
      </c>
      <c r="P3333" s="283">
        <f t="shared" si="317"/>
        <v>209.9</v>
      </c>
      <c r="Q3333" s="744" t="s">
        <v>868</v>
      </c>
      <c r="R3333" s="283">
        <f t="shared" si="316"/>
        <v>209.9</v>
      </c>
      <c r="W3333" s="744"/>
    </row>
    <row r="3334" spans="6:23" ht="24" customHeight="1">
      <c r="J3334" s="283"/>
      <c r="M3334" s="283">
        <v>2</v>
      </c>
      <c r="N3334" s="283" t="s">
        <v>868</v>
      </c>
      <c r="O3334" s="374" t="s">
        <v>3267</v>
      </c>
      <c r="P3334" s="283">
        <f t="shared" si="317"/>
        <v>23.1</v>
      </c>
      <c r="Q3334" s="744" t="s">
        <v>868</v>
      </c>
      <c r="R3334" s="283">
        <f t="shared" si="316"/>
        <v>46.2</v>
      </c>
      <c r="W3334" s="744"/>
    </row>
    <row r="3335" spans="6:23" ht="24" customHeight="1">
      <c r="J3335" s="283"/>
      <c r="M3335" s="283">
        <v>2</v>
      </c>
      <c r="N3335" s="283" t="s">
        <v>868</v>
      </c>
      <c r="O3335" s="374" t="s">
        <v>3268</v>
      </c>
      <c r="P3335" s="283">
        <f t="shared" si="317"/>
        <v>49.55</v>
      </c>
      <c r="Q3335" s="744" t="s">
        <v>868</v>
      </c>
      <c r="R3335" s="283">
        <f t="shared" si="316"/>
        <v>99.1</v>
      </c>
      <c r="W3335" s="744"/>
    </row>
    <row r="3336" spans="6:23" ht="24" customHeight="1">
      <c r="J3336" s="283"/>
      <c r="M3336" s="283">
        <v>118</v>
      </c>
      <c r="N3336" s="283" t="s">
        <v>868</v>
      </c>
      <c r="O3336" s="283" t="s">
        <v>1336</v>
      </c>
      <c r="P3336" s="283">
        <f>P3269</f>
        <v>2.41</v>
      </c>
      <c r="Q3336" s="744" t="s">
        <v>868</v>
      </c>
      <c r="R3336" s="283">
        <f t="shared" si="316"/>
        <v>284.38</v>
      </c>
      <c r="W3336" s="744"/>
    </row>
    <row r="3337" spans="6:23" ht="24" customHeight="1">
      <c r="F3337" s="744"/>
      <c r="G3337" s="283" t="s">
        <v>2251</v>
      </c>
      <c r="H3337" s="374" t="s">
        <v>6136</v>
      </c>
      <c r="J3337" s="744"/>
      <c r="Q3337" s="744"/>
      <c r="R3337" s="748" t="s">
        <v>1586</v>
      </c>
      <c r="W3337" s="744"/>
    </row>
    <row r="3338" spans="6:23" ht="24" customHeight="1">
      <c r="H3338" s="374" t="s">
        <v>1524</v>
      </c>
      <c r="J3338" s="744"/>
      <c r="O3338" s="374" t="s">
        <v>3269</v>
      </c>
      <c r="Q3338" s="744"/>
      <c r="R3338" s="283">
        <f>SUM(R3324:R3336)</f>
        <v>11877.97</v>
      </c>
      <c r="W3338" s="744"/>
    </row>
    <row r="3339" spans="6:23" ht="24" customHeight="1">
      <c r="H3339" s="745" t="s">
        <v>1898</v>
      </c>
      <c r="J3339" s="744"/>
      <c r="Q3339" s="744"/>
      <c r="R3339" s="748" t="s">
        <v>1586</v>
      </c>
      <c r="W3339" s="744"/>
    </row>
    <row r="3340" spans="6:23" ht="24" customHeight="1">
      <c r="H3340" s="748" t="s">
        <v>1586</v>
      </c>
      <c r="J3340" s="744"/>
      <c r="O3340" s="745" t="s">
        <v>552</v>
      </c>
      <c r="Q3340" s="750" t="s">
        <v>721</v>
      </c>
      <c r="R3340" s="751">
        <f>R3338/M3329</f>
        <v>3804.6</v>
      </c>
      <c r="W3340" s="744"/>
    </row>
    <row r="3341" spans="6:23" ht="24" customHeight="1">
      <c r="F3341" s="283">
        <v>1.34</v>
      </c>
      <c r="G3341" s="283" t="s">
        <v>1645</v>
      </c>
      <c r="H3341" s="374" t="s">
        <v>5351</v>
      </c>
      <c r="I3341" s="283">
        <v>73.8</v>
      </c>
      <c r="J3341" s="374" t="s">
        <v>1645</v>
      </c>
      <c r="K3341" s="283">
        <f>(F3341*I3341)</f>
        <v>98.89</v>
      </c>
      <c r="W3341" s="744"/>
    </row>
    <row r="3342" spans="6:23" ht="24" customHeight="1">
      <c r="F3342" s="283">
        <v>0.5</v>
      </c>
      <c r="G3342" s="283" t="s">
        <v>769</v>
      </c>
      <c r="H3342" s="374" t="s">
        <v>1179</v>
      </c>
      <c r="I3342" s="283">
        <f>AE13</f>
        <v>797</v>
      </c>
      <c r="J3342" s="283" t="s">
        <v>769</v>
      </c>
      <c r="K3342" s="283">
        <f>(F3342*I3342)</f>
        <v>398.5</v>
      </c>
      <c r="W3342" s="744"/>
    </row>
    <row r="3343" spans="6:23" ht="24" customHeight="1">
      <c r="F3343" s="283">
        <v>0.5</v>
      </c>
      <c r="G3343" s="283" t="s">
        <v>769</v>
      </c>
      <c r="H3343" s="374" t="s">
        <v>1902</v>
      </c>
      <c r="I3343" s="283">
        <f>AE11</f>
        <v>651</v>
      </c>
      <c r="J3343" s="283" t="s">
        <v>769</v>
      </c>
      <c r="K3343" s="283">
        <f>(F3343*I3343)</f>
        <v>325.5</v>
      </c>
      <c r="M3343" s="744"/>
      <c r="N3343" s="283" t="s">
        <v>2251</v>
      </c>
      <c r="O3343" s="374" t="s">
        <v>3289</v>
      </c>
      <c r="Q3343" s="744"/>
      <c r="W3343" s="744"/>
    </row>
    <row r="3344" spans="6:23" ht="24" customHeight="1">
      <c r="F3344" s="283">
        <v>0.8</v>
      </c>
      <c r="G3344" s="283" t="s">
        <v>769</v>
      </c>
      <c r="H3344" s="374" t="s">
        <v>320</v>
      </c>
      <c r="I3344" s="283">
        <f>AE12</f>
        <v>534</v>
      </c>
      <c r="J3344" s="283" t="s">
        <v>769</v>
      </c>
      <c r="K3344" s="283">
        <f>(F3344*I3344)</f>
        <v>427.2</v>
      </c>
      <c r="O3344" s="374" t="s">
        <v>256</v>
      </c>
      <c r="Q3344" s="744"/>
      <c r="W3344" s="744"/>
    </row>
    <row r="3345" spans="6:23" ht="24" customHeight="1">
      <c r="G3345" s="283" t="s">
        <v>449</v>
      </c>
      <c r="H3345" s="374" t="s">
        <v>1181</v>
      </c>
      <c r="I3345" s="374" t="s">
        <v>975</v>
      </c>
      <c r="J3345" s="744" t="s">
        <v>449</v>
      </c>
      <c r="K3345" s="283">
        <v>2.6</v>
      </c>
      <c r="O3345" s="833" t="s">
        <v>3288</v>
      </c>
      <c r="Q3345" s="744"/>
      <c r="W3345" s="744"/>
    </row>
    <row r="3346" spans="6:23" ht="24" customHeight="1">
      <c r="J3346" s="744"/>
      <c r="K3346" s="748" t="s">
        <v>1586</v>
      </c>
      <c r="O3346" s="748" t="s">
        <v>1586</v>
      </c>
      <c r="Q3346" s="744"/>
      <c r="W3346" s="744"/>
    </row>
    <row r="3347" spans="6:23" ht="24" customHeight="1">
      <c r="H3347" s="374" t="s">
        <v>441</v>
      </c>
      <c r="J3347" s="744"/>
      <c r="K3347" s="283">
        <f>SUM(K3341:K3346)</f>
        <v>1252.69</v>
      </c>
      <c r="O3347" s="374" t="s">
        <v>3385</v>
      </c>
      <c r="P3347" s="784" t="s">
        <v>2055</v>
      </c>
      <c r="Q3347" s="803">
        <v>1.734</v>
      </c>
      <c r="R3347" s="283" t="s">
        <v>2283</v>
      </c>
      <c r="W3347" s="744"/>
    </row>
    <row r="3348" spans="6:23" ht="24" customHeight="1">
      <c r="J3348" s="744"/>
      <c r="K3348" s="748" t="s">
        <v>1586</v>
      </c>
      <c r="O3348" s="374"/>
      <c r="P3348" s="784"/>
      <c r="Q3348" s="803"/>
      <c r="W3348" s="744"/>
    </row>
    <row r="3349" spans="6:23" ht="24" customHeight="1">
      <c r="H3349" s="745" t="s">
        <v>552</v>
      </c>
      <c r="J3349" s="744"/>
      <c r="K3349" s="751">
        <f>(K3347/10)</f>
        <v>125.27</v>
      </c>
      <c r="O3349" s="374" t="s">
        <v>6137</v>
      </c>
      <c r="P3349" s="784" t="s">
        <v>2055</v>
      </c>
      <c r="Q3349" s="847">
        <v>3.9E-2</v>
      </c>
      <c r="R3349" s="283" t="s">
        <v>2151</v>
      </c>
      <c r="W3349" s="744"/>
    </row>
    <row r="3350" spans="6:23" ht="24" customHeight="1">
      <c r="F3350" s="374" t="s">
        <v>975</v>
      </c>
      <c r="J3350" s="744"/>
      <c r="O3350" s="374" t="s">
        <v>3259</v>
      </c>
      <c r="Q3350" s="784"/>
      <c r="W3350" s="744"/>
    </row>
    <row r="3351" spans="6:23" ht="24" customHeight="1">
      <c r="J3351" s="283"/>
      <c r="O3351" s="374" t="s">
        <v>2759</v>
      </c>
      <c r="P3351" s="784" t="s">
        <v>2055</v>
      </c>
      <c r="Q3351" s="871">
        <v>1.2659999999999999E-2</v>
      </c>
      <c r="W3351" s="744"/>
    </row>
    <row r="3352" spans="6:23" ht="24" customHeight="1">
      <c r="H3352" s="751" t="s">
        <v>4246</v>
      </c>
      <c r="J3352" s="283"/>
      <c r="O3352" s="374" t="s">
        <v>2766</v>
      </c>
      <c r="P3352" s="784" t="s">
        <v>2055</v>
      </c>
      <c r="Q3352" s="875">
        <v>5.6249999999999998E-3</v>
      </c>
      <c r="R3352" s="782"/>
      <c r="W3352" s="744"/>
    </row>
    <row r="3353" spans="6:23" ht="24" customHeight="1">
      <c r="J3353" s="283"/>
      <c r="Q3353" s="748" t="s">
        <v>1586</v>
      </c>
      <c r="W3353" s="744"/>
    </row>
    <row r="3354" spans="6:23" ht="24" customHeight="1">
      <c r="F3354" s="283">
        <v>1.4</v>
      </c>
      <c r="G3354" s="283" t="s">
        <v>1238</v>
      </c>
      <c r="H3354" s="283" t="s">
        <v>1200</v>
      </c>
      <c r="I3354" s="784">
        <f>I3367</f>
        <v>295.60000000000002</v>
      </c>
      <c r="J3354" s="283" t="s">
        <v>1238</v>
      </c>
      <c r="K3354" s="283">
        <f>I3354*F3354</f>
        <v>413.84</v>
      </c>
      <c r="Q3354" s="872">
        <v>1.8290000000000001E-2</v>
      </c>
      <c r="R3354" s="283" t="s">
        <v>2151</v>
      </c>
      <c r="W3354" s="744"/>
    </row>
    <row r="3355" spans="6:23" ht="24" customHeight="1">
      <c r="F3355" s="283">
        <v>1.5</v>
      </c>
      <c r="G3355" s="283" t="s">
        <v>769</v>
      </c>
      <c r="H3355" s="283" t="s">
        <v>4248</v>
      </c>
      <c r="I3355" s="784">
        <f>I3368</f>
        <v>797</v>
      </c>
      <c r="J3355" s="283" t="s">
        <v>769</v>
      </c>
      <c r="K3355" s="283">
        <f>I3355*F3355</f>
        <v>1195.5</v>
      </c>
      <c r="Q3355" s="748" t="s">
        <v>1586</v>
      </c>
      <c r="W3355" s="744"/>
    </row>
    <row r="3356" spans="6:23" ht="24" customHeight="1">
      <c r="F3356" s="283">
        <v>10</v>
      </c>
      <c r="G3356" s="283" t="s">
        <v>2283</v>
      </c>
      <c r="H3356" s="374" t="s">
        <v>3866</v>
      </c>
      <c r="I3356" s="784">
        <f>I3369</f>
        <v>0</v>
      </c>
      <c r="J3356" s="283" t="s">
        <v>2283</v>
      </c>
      <c r="K3356" s="283">
        <f>I3356*F3356</f>
        <v>0</v>
      </c>
      <c r="O3356" s="374" t="s">
        <v>2760</v>
      </c>
      <c r="Q3356" s="873">
        <v>0.4113</v>
      </c>
      <c r="R3356" s="782"/>
      <c r="W3356" s="744"/>
    </row>
    <row r="3357" spans="6:23" ht="24" customHeight="1">
      <c r="H3357" s="374" t="s">
        <v>3039</v>
      </c>
      <c r="I3357" s="784" t="s">
        <v>3040</v>
      </c>
      <c r="J3357" s="744"/>
      <c r="K3357" s="283">
        <v>4.33</v>
      </c>
      <c r="O3357" s="374" t="s">
        <v>2761</v>
      </c>
      <c r="Q3357" s="873">
        <v>0.19689999999999999</v>
      </c>
      <c r="R3357" s="782"/>
      <c r="W3357" s="744"/>
    </row>
    <row r="3358" spans="6:23" ht="24" customHeight="1">
      <c r="H3358" s="374" t="s">
        <v>441</v>
      </c>
      <c r="J3358" s="744"/>
      <c r="K3358" s="283">
        <f>SUM(K3354:K3357)</f>
        <v>1613.67</v>
      </c>
      <c r="O3358" s="374"/>
      <c r="Q3358" s="748" t="s">
        <v>1586</v>
      </c>
      <c r="R3358" s="782"/>
      <c r="W3358" s="744"/>
    </row>
    <row r="3359" spans="6:23" ht="24" customHeight="1">
      <c r="H3359" s="745" t="s">
        <v>552</v>
      </c>
      <c r="J3359" s="744"/>
      <c r="K3359" s="283">
        <f>K3358/10</f>
        <v>161.37</v>
      </c>
      <c r="O3359" s="374"/>
      <c r="Q3359" s="847">
        <v>0.60819999999999996</v>
      </c>
      <c r="R3359" s="751"/>
      <c r="W3359" s="744"/>
    </row>
    <row r="3360" spans="6:23" ht="24" customHeight="1">
      <c r="J3360" s="744"/>
      <c r="Q3360" s="748" t="s">
        <v>1586</v>
      </c>
      <c r="R3360" s="748"/>
      <c r="W3360" s="744"/>
    </row>
    <row r="3361" spans="6:23" ht="24" customHeight="1">
      <c r="J3361" s="744"/>
      <c r="M3361" s="782">
        <v>3.9E-2</v>
      </c>
      <c r="N3361" s="283" t="s">
        <v>869</v>
      </c>
      <c r="O3361" s="374" t="s">
        <v>308</v>
      </c>
      <c r="P3361" s="283">
        <f>P3292</f>
        <v>111600</v>
      </c>
      <c r="Q3361" s="744" t="s">
        <v>869</v>
      </c>
      <c r="R3361" s="283">
        <f>P3361*M3361</f>
        <v>4352.3999999999996</v>
      </c>
      <c r="W3361" s="744"/>
    </row>
    <row r="3362" spans="6:23" ht="24" customHeight="1">
      <c r="J3362" s="283"/>
      <c r="M3362" s="782">
        <v>1.8290000000000001E-2</v>
      </c>
      <c r="N3362" s="283" t="s">
        <v>869</v>
      </c>
      <c r="O3362" s="374" t="s">
        <v>309</v>
      </c>
      <c r="P3362" s="283">
        <f>P3293</f>
        <v>99400</v>
      </c>
      <c r="Q3362" s="744" t="s">
        <v>869</v>
      </c>
      <c r="R3362" s="283">
        <f t="shared" ref="R3362:R3371" si="318">P3362*M3362</f>
        <v>1818.03</v>
      </c>
      <c r="W3362" s="744"/>
    </row>
    <row r="3363" spans="6:23" ht="24" customHeight="1">
      <c r="J3363" s="283"/>
      <c r="M3363" s="782">
        <v>0.60819999999999996</v>
      </c>
      <c r="N3363" s="283" t="s">
        <v>609</v>
      </c>
      <c r="O3363" s="374" t="s">
        <v>2091</v>
      </c>
      <c r="P3363" s="283">
        <f>P3326</f>
        <v>387.4</v>
      </c>
      <c r="Q3363" s="744" t="s">
        <v>869</v>
      </c>
      <c r="R3363" s="283">
        <f t="shared" si="318"/>
        <v>235.62</v>
      </c>
      <c r="W3363" s="744"/>
    </row>
    <row r="3364" spans="6:23" ht="24" customHeight="1">
      <c r="J3364" s="283"/>
      <c r="M3364" s="783">
        <v>1.734</v>
      </c>
      <c r="N3364" s="283" t="s">
        <v>609</v>
      </c>
      <c r="O3364" s="374" t="s">
        <v>447</v>
      </c>
      <c r="P3364" s="283">
        <f>P3329</f>
        <v>0</v>
      </c>
      <c r="Q3364" s="744" t="s">
        <v>609</v>
      </c>
      <c r="R3364" s="283">
        <f t="shared" si="318"/>
        <v>0</v>
      </c>
      <c r="W3364" s="744"/>
    </row>
    <row r="3365" spans="6:23" ht="24" customHeight="1">
      <c r="H3365" s="751" t="s">
        <v>4247</v>
      </c>
      <c r="J3365" s="283"/>
      <c r="M3365" s="283">
        <v>2</v>
      </c>
      <c r="N3365" s="283" t="s">
        <v>769</v>
      </c>
      <c r="O3365" s="374" t="s">
        <v>3264</v>
      </c>
      <c r="P3365" s="283">
        <f t="shared" ref="P3365:P3370" si="319">P3296</f>
        <v>57.65</v>
      </c>
      <c r="Q3365" s="744" t="s">
        <v>868</v>
      </c>
      <c r="R3365" s="283">
        <f t="shared" si="318"/>
        <v>115.3</v>
      </c>
      <c r="W3365" s="744"/>
    </row>
    <row r="3366" spans="6:23" ht="24" customHeight="1">
      <c r="J3366" s="283"/>
      <c r="M3366" s="283">
        <v>4</v>
      </c>
      <c r="N3366" s="283" t="s">
        <v>868</v>
      </c>
      <c r="O3366" s="374" t="s">
        <v>1464</v>
      </c>
      <c r="P3366" s="283">
        <f t="shared" si="319"/>
        <v>89.6</v>
      </c>
      <c r="Q3366" s="744" t="s">
        <v>868</v>
      </c>
      <c r="R3366" s="283">
        <f t="shared" si="318"/>
        <v>358.4</v>
      </c>
      <c r="W3366" s="744"/>
    </row>
    <row r="3367" spans="6:23" ht="24" customHeight="1">
      <c r="F3367" s="283">
        <v>0.8</v>
      </c>
      <c r="G3367" s="283" t="s">
        <v>1238</v>
      </c>
      <c r="H3367" s="283" t="s">
        <v>1200</v>
      </c>
      <c r="I3367" s="784">
        <f>'Print Data (2)'!D465</f>
        <v>295.60000000000002</v>
      </c>
      <c r="J3367" s="283" t="s">
        <v>1238</v>
      </c>
      <c r="K3367" s="283">
        <f>I3367*F3367</f>
        <v>236.48</v>
      </c>
      <c r="M3367" s="283">
        <v>2</v>
      </c>
      <c r="N3367" s="283" t="s">
        <v>868</v>
      </c>
      <c r="O3367" s="374" t="s">
        <v>3265</v>
      </c>
      <c r="P3367" s="283">
        <f t="shared" si="319"/>
        <v>97.85</v>
      </c>
      <c r="Q3367" s="744" t="s">
        <v>868</v>
      </c>
      <c r="R3367" s="283">
        <f t="shared" si="318"/>
        <v>195.7</v>
      </c>
      <c r="W3367" s="744"/>
    </row>
    <row r="3368" spans="6:23" ht="24" customHeight="1">
      <c r="F3368" s="283">
        <v>0.7</v>
      </c>
      <c r="G3368" s="283" t="s">
        <v>769</v>
      </c>
      <c r="H3368" s="283" t="s">
        <v>4248</v>
      </c>
      <c r="I3368" s="283">
        <f>I3342</f>
        <v>797</v>
      </c>
      <c r="J3368" s="283" t="s">
        <v>769</v>
      </c>
      <c r="K3368" s="283">
        <f>I3368*F3368</f>
        <v>557.9</v>
      </c>
      <c r="M3368" s="283">
        <v>1</v>
      </c>
      <c r="N3368" s="283" t="s">
        <v>868</v>
      </c>
      <c r="O3368" s="374" t="s">
        <v>3266</v>
      </c>
      <c r="P3368" s="283">
        <f t="shared" si="319"/>
        <v>209.9</v>
      </c>
      <c r="Q3368" s="744" t="s">
        <v>868</v>
      </c>
      <c r="R3368" s="283">
        <f t="shared" si="318"/>
        <v>209.9</v>
      </c>
      <c r="W3368" s="744"/>
    </row>
    <row r="3369" spans="6:23" ht="24" customHeight="1">
      <c r="F3369" s="283">
        <v>10</v>
      </c>
      <c r="G3369" s="283" t="s">
        <v>2283</v>
      </c>
      <c r="H3369" s="374" t="s">
        <v>3866</v>
      </c>
      <c r="I3369" s="283">
        <f>I3186</f>
        <v>0</v>
      </c>
      <c r="J3369" s="283" t="s">
        <v>2283</v>
      </c>
      <c r="K3369" s="283">
        <f>I3369*F3369</f>
        <v>0</v>
      </c>
      <c r="M3369" s="283">
        <v>1</v>
      </c>
      <c r="N3369" s="283" t="s">
        <v>868</v>
      </c>
      <c r="O3369" s="374" t="s">
        <v>3267</v>
      </c>
      <c r="P3369" s="283">
        <f t="shared" si="319"/>
        <v>23.1</v>
      </c>
      <c r="Q3369" s="744" t="s">
        <v>868</v>
      </c>
      <c r="R3369" s="283">
        <f t="shared" si="318"/>
        <v>23.1</v>
      </c>
      <c r="W3369" s="744"/>
    </row>
    <row r="3370" spans="6:23" ht="24" customHeight="1">
      <c r="H3370" s="374" t="s">
        <v>3039</v>
      </c>
      <c r="I3370" s="784" t="s">
        <v>3040</v>
      </c>
      <c r="J3370" s="744"/>
      <c r="K3370" s="283">
        <v>1.6</v>
      </c>
      <c r="M3370" s="283">
        <v>1</v>
      </c>
      <c r="N3370" s="283" t="s">
        <v>868</v>
      </c>
      <c r="O3370" s="374" t="s">
        <v>3268</v>
      </c>
      <c r="P3370" s="283">
        <f t="shared" si="319"/>
        <v>49.55</v>
      </c>
      <c r="Q3370" s="744" t="s">
        <v>868</v>
      </c>
      <c r="R3370" s="283">
        <f t="shared" si="318"/>
        <v>49.55</v>
      </c>
      <c r="W3370" s="744"/>
    </row>
    <row r="3371" spans="6:23" ht="24" customHeight="1">
      <c r="H3371" s="374" t="s">
        <v>441</v>
      </c>
      <c r="J3371" s="744"/>
      <c r="K3371" s="283">
        <f>SUM(K3367:K3370)</f>
        <v>795.98</v>
      </c>
      <c r="M3371" s="283">
        <v>58</v>
      </c>
      <c r="N3371" s="283" t="s">
        <v>868</v>
      </c>
      <c r="O3371" s="283" t="s">
        <v>1336</v>
      </c>
      <c r="P3371" s="283">
        <f>P3336</f>
        <v>2.41</v>
      </c>
      <c r="Q3371" s="744" t="s">
        <v>868</v>
      </c>
      <c r="R3371" s="283">
        <f t="shared" si="318"/>
        <v>139.78</v>
      </c>
      <c r="W3371" s="744"/>
    </row>
    <row r="3372" spans="6:23" ht="24" customHeight="1">
      <c r="H3372" s="745" t="s">
        <v>552</v>
      </c>
      <c r="J3372" s="744"/>
      <c r="K3372" s="283">
        <f>K3371/10</f>
        <v>79.599999999999994</v>
      </c>
      <c r="Q3372" s="744"/>
      <c r="R3372" s="748" t="s">
        <v>1586</v>
      </c>
      <c r="W3372" s="744"/>
    </row>
    <row r="3373" spans="6:23" ht="24" customHeight="1">
      <c r="O3373" s="374" t="s">
        <v>2762</v>
      </c>
      <c r="Q3373" s="744"/>
      <c r="R3373" s="283">
        <f>SUM(R3361:R3371)</f>
        <v>7497.78</v>
      </c>
      <c r="W3373" s="744"/>
    </row>
    <row r="3374" spans="6:23" ht="24" customHeight="1">
      <c r="Q3374" s="744"/>
      <c r="R3374" s="748" t="s">
        <v>1586</v>
      </c>
      <c r="W3374" s="744"/>
    </row>
    <row r="3375" spans="6:23" ht="24" customHeight="1">
      <c r="H3375" s="374"/>
      <c r="I3375" s="784"/>
      <c r="J3375" s="803"/>
      <c r="O3375" s="745" t="s">
        <v>552</v>
      </c>
      <c r="Q3375" s="750" t="s">
        <v>721</v>
      </c>
      <c r="R3375" s="751">
        <f>R3373/M3364</f>
        <v>4323.9799999999996</v>
      </c>
      <c r="W3375" s="744"/>
    </row>
    <row r="3376" spans="6:23" ht="24" customHeight="1">
      <c r="H3376" s="374" t="s">
        <v>6137</v>
      </c>
      <c r="I3376" s="784" t="s">
        <v>2055</v>
      </c>
      <c r="J3376" s="847">
        <v>3.9E-2</v>
      </c>
      <c r="K3376" s="283" t="s">
        <v>2151</v>
      </c>
      <c r="Q3376" s="374"/>
      <c r="R3376" s="748" t="s">
        <v>2055</v>
      </c>
      <c r="W3376" s="744"/>
    </row>
    <row r="3377" spans="6:23" ht="24" customHeight="1">
      <c r="H3377" s="374" t="s">
        <v>3259</v>
      </c>
      <c r="J3377" s="784"/>
      <c r="M3377" s="744"/>
      <c r="N3377" s="283" t="s">
        <v>2251</v>
      </c>
      <c r="O3377" s="374" t="s">
        <v>3289</v>
      </c>
      <c r="Q3377" s="744"/>
      <c r="W3377" s="744"/>
    </row>
    <row r="3378" spans="6:23" ht="24" customHeight="1">
      <c r="H3378" s="374" t="s">
        <v>2765</v>
      </c>
      <c r="I3378" s="784" t="s">
        <v>2055</v>
      </c>
      <c r="J3378" s="871">
        <v>1.519E-2</v>
      </c>
      <c r="O3378" s="374" t="s">
        <v>256</v>
      </c>
      <c r="Q3378" s="744"/>
      <c r="W3378" s="744"/>
    </row>
    <row r="3379" spans="6:23" ht="24" customHeight="1">
      <c r="H3379" s="374" t="s">
        <v>2767</v>
      </c>
      <c r="I3379" s="784" t="s">
        <v>2055</v>
      </c>
      <c r="J3379" s="875">
        <v>6.7499999999999999E-3</v>
      </c>
      <c r="K3379" s="782"/>
      <c r="O3379" s="833" t="s">
        <v>2763</v>
      </c>
      <c r="Q3379" s="744"/>
      <c r="W3379" s="744"/>
    </row>
    <row r="3380" spans="6:23" ht="24" customHeight="1">
      <c r="J3380" s="748" t="s">
        <v>1586</v>
      </c>
      <c r="O3380" s="748" t="s">
        <v>1586</v>
      </c>
      <c r="Q3380" s="744"/>
      <c r="W3380" s="744"/>
    </row>
    <row r="3381" spans="6:23" ht="24" customHeight="1">
      <c r="J3381" s="872">
        <v>2.1940000000000001E-2</v>
      </c>
      <c r="K3381" s="283" t="s">
        <v>2151</v>
      </c>
      <c r="O3381" s="374" t="s">
        <v>2764</v>
      </c>
      <c r="P3381" s="784" t="s">
        <v>2055</v>
      </c>
      <c r="Q3381" s="803">
        <v>2.081</v>
      </c>
      <c r="R3381" s="283" t="s">
        <v>2283</v>
      </c>
      <c r="W3381" s="744"/>
    </row>
    <row r="3382" spans="6:23" ht="24" customHeight="1">
      <c r="J3382" s="748" t="s">
        <v>1586</v>
      </c>
      <c r="O3382" s="374"/>
      <c r="P3382" s="784"/>
      <c r="Q3382" s="803"/>
      <c r="W3382" s="744"/>
    </row>
    <row r="3383" spans="6:23" ht="24" customHeight="1">
      <c r="H3383" s="374" t="s">
        <v>3284</v>
      </c>
      <c r="J3383" s="873">
        <v>0.58750000000000002</v>
      </c>
      <c r="K3383" s="782"/>
      <c r="O3383" s="374" t="s">
        <v>6137</v>
      </c>
      <c r="P3383" s="784" t="s">
        <v>2055</v>
      </c>
      <c r="Q3383" s="847">
        <v>3.9E-2</v>
      </c>
      <c r="R3383" s="283" t="s">
        <v>2151</v>
      </c>
      <c r="W3383" s="744"/>
    </row>
    <row r="3384" spans="6:23" ht="24" customHeight="1">
      <c r="H3384" s="374" t="s">
        <v>3285</v>
      </c>
      <c r="J3384" s="873">
        <v>0.28129999999999999</v>
      </c>
      <c r="K3384" s="782"/>
      <c r="O3384" s="374" t="s">
        <v>3259</v>
      </c>
      <c r="Q3384" s="784"/>
      <c r="W3384" s="744"/>
    </row>
    <row r="3385" spans="6:23" ht="24" customHeight="1">
      <c r="H3385" s="374"/>
      <c r="J3385" s="748" t="s">
        <v>1586</v>
      </c>
      <c r="K3385" s="782"/>
      <c r="O3385" s="374" t="s">
        <v>2765</v>
      </c>
      <c r="P3385" s="784" t="s">
        <v>2055</v>
      </c>
      <c r="Q3385" s="871">
        <v>1.519E-2</v>
      </c>
      <c r="W3385" s="744"/>
    </row>
    <row r="3386" spans="6:23" ht="24" customHeight="1">
      <c r="H3386" s="374"/>
      <c r="J3386" s="847">
        <v>0.86880000000000002</v>
      </c>
      <c r="K3386" s="751"/>
      <c r="O3386" s="374" t="s">
        <v>2767</v>
      </c>
      <c r="P3386" s="784" t="s">
        <v>2055</v>
      </c>
      <c r="Q3386" s="875">
        <v>6.7499999999999999E-3</v>
      </c>
      <c r="R3386" s="782"/>
      <c r="W3386" s="744"/>
    </row>
    <row r="3387" spans="6:23" ht="24" customHeight="1">
      <c r="J3387" s="748" t="s">
        <v>1586</v>
      </c>
      <c r="K3387" s="748"/>
      <c r="Q3387" s="748" t="s">
        <v>1586</v>
      </c>
      <c r="W3387" s="744"/>
    </row>
    <row r="3388" spans="6:23" ht="24" customHeight="1">
      <c r="F3388" s="782">
        <v>3.9E-2</v>
      </c>
      <c r="G3388" s="283" t="s">
        <v>869</v>
      </c>
      <c r="H3388" s="374" t="s">
        <v>308</v>
      </c>
      <c r="I3388" s="283">
        <f>C89</f>
        <v>111600</v>
      </c>
      <c r="J3388" s="744" t="s">
        <v>869</v>
      </c>
      <c r="K3388" s="283">
        <v>2868.26</v>
      </c>
      <c r="Q3388" s="872">
        <v>2.1940000000000001E-2</v>
      </c>
      <c r="R3388" s="283" t="s">
        <v>2151</v>
      </c>
      <c r="W3388" s="744"/>
    </row>
    <row r="3389" spans="6:23" ht="24" customHeight="1">
      <c r="F3389" s="782">
        <v>2.1940000000000001E-2</v>
      </c>
      <c r="G3389" s="283" t="s">
        <v>869</v>
      </c>
      <c r="H3389" s="374" t="s">
        <v>309</v>
      </c>
      <c r="I3389" s="283">
        <f>C90</f>
        <v>99400</v>
      </c>
      <c r="J3389" s="744" t="s">
        <v>869</v>
      </c>
      <c r="K3389" s="283">
        <v>1435.86</v>
      </c>
      <c r="Q3389" s="748" t="s">
        <v>1586</v>
      </c>
      <c r="W3389" s="744"/>
    </row>
    <row r="3390" spans="6:23" ht="24" customHeight="1">
      <c r="F3390" s="782">
        <v>0.86880000000000002</v>
      </c>
      <c r="G3390" s="283" t="s">
        <v>609</v>
      </c>
      <c r="H3390" s="374" t="s">
        <v>2091</v>
      </c>
      <c r="I3390" s="283">
        <f>C784</f>
        <v>387.4</v>
      </c>
      <c r="J3390" s="744" t="s">
        <v>869</v>
      </c>
      <c r="K3390" s="283">
        <v>336.66</v>
      </c>
      <c r="O3390" s="374" t="s">
        <v>3284</v>
      </c>
      <c r="Q3390" s="873">
        <v>0.58750000000000002</v>
      </c>
      <c r="R3390" s="782"/>
      <c r="W3390" s="744"/>
    </row>
    <row r="3391" spans="6:23" ht="24" customHeight="1">
      <c r="F3391" s="783">
        <v>2.081</v>
      </c>
      <c r="G3391" s="283" t="s">
        <v>609</v>
      </c>
      <c r="H3391" s="374" t="s">
        <v>447</v>
      </c>
      <c r="I3391" s="283">
        <v>363</v>
      </c>
      <c r="J3391" s="744" t="s">
        <v>609</v>
      </c>
      <c r="K3391" s="283">
        <v>755.4</v>
      </c>
      <c r="O3391" s="374" t="s">
        <v>3285</v>
      </c>
      <c r="Q3391" s="873">
        <v>0.28129999999999999</v>
      </c>
      <c r="R3391" s="782"/>
      <c r="W3391" s="744"/>
    </row>
    <row r="3392" spans="6:23" ht="24" customHeight="1">
      <c r="F3392" s="283">
        <v>2</v>
      </c>
      <c r="G3392" s="283" t="s">
        <v>769</v>
      </c>
      <c r="H3392" s="374" t="s">
        <v>3525</v>
      </c>
      <c r="I3392" s="283">
        <f t="shared" ref="I3392:I3397" si="320">I3323</f>
        <v>57.65</v>
      </c>
      <c r="J3392" s="744" t="s">
        <v>868</v>
      </c>
      <c r="K3392" s="283">
        <v>84</v>
      </c>
      <c r="O3392" s="374"/>
      <c r="Q3392" s="748" t="s">
        <v>1586</v>
      </c>
      <c r="R3392" s="782"/>
      <c r="W3392" s="744"/>
    </row>
    <row r="3393" spans="6:23" ht="24" customHeight="1">
      <c r="F3393" s="283">
        <v>4</v>
      </c>
      <c r="G3393" s="283" t="s">
        <v>868</v>
      </c>
      <c r="H3393" s="374" t="s">
        <v>3526</v>
      </c>
      <c r="I3393" s="283">
        <f t="shared" si="320"/>
        <v>89.6</v>
      </c>
      <c r="J3393" s="744" t="s">
        <v>868</v>
      </c>
      <c r="K3393" s="283">
        <v>232</v>
      </c>
      <c r="O3393" s="374"/>
      <c r="Q3393" s="847">
        <v>0.86880000000000002</v>
      </c>
      <c r="R3393" s="751"/>
      <c r="W3393" s="744"/>
    </row>
    <row r="3394" spans="6:23" ht="24" customHeight="1">
      <c r="F3394" s="283">
        <v>2</v>
      </c>
      <c r="G3394" s="283" t="s">
        <v>868</v>
      </c>
      <c r="H3394" s="374" t="s">
        <v>3527</v>
      </c>
      <c r="I3394" s="283">
        <f t="shared" si="320"/>
        <v>97.85</v>
      </c>
      <c r="J3394" s="744" t="s">
        <v>868</v>
      </c>
      <c r="K3394" s="283">
        <v>126</v>
      </c>
      <c r="Q3394" s="748" t="s">
        <v>1586</v>
      </c>
      <c r="R3394" s="748"/>
      <c r="W3394" s="744"/>
    </row>
    <row r="3395" spans="6:23" ht="24" customHeight="1">
      <c r="F3395" s="283">
        <v>1</v>
      </c>
      <c r="G3395" s="283" t="s">
        <v>868</v>
      </c>
      <c r="H3395" s="374" t="s">
        <v>3528</v>
      </c>
      <c r="I3395" s="283">
        <f t="shared" si="320"/>
        <v>209.9</v>
      </c>
      <c r="J3395" s="744" t="s">
        <v>868</v>
      </c>
      <c r="K3395" s="283">
        <v>152</v>
      </c>
      <c r="M3395" s="782">
        <v>3.9E-2</v>
      </c>
      <c r="N3395" s="283" t="s">
        <v>869</v>
      </c>
      <c r="O3395" s="374" t="s">
        <v>308</v>
      </c>
      <c r="P3395" s="283">
        <f>P3292</f>
        <v>111600</v>
      </c>
      <c r="Q3395" s="744" t="s">
        <v>869</v>
      </c>
      <c r="R3395" s="283">
        <f>P3395*M3395</f>
        <v>4352.3999999999996</v>
      </c>
      <c r="W3395" s="744"/>
    </row>
    <row r="3396" spans="6:23" ht="24" customHeight="1">
      <c r="F3396" s="283">
        <v>1</v>
      </c>
      <c r="G3396" s="283" t="s">
        <v>868</v>
      </c>
      <c r="H3396" s="374" t="s">
        <v>3267</v>
      </c>
      <c r="I3396" s="283">
        <f t="shared" si="320"/>
        <v>23.1</v>
      </c>
      <c r="J3396" s="744" t="s">
        <v>868</v>
      </c>
      <c r="K3396" s="283">
        <v>20</v>
      </c>
      <c r="M3396" s="782">
        <v>2.1940000000000001E-2</v>
      </c>
      <c r="N3396" s="283" t="s">
        <v>869</v>
      </c>
      <c r="O3396" s="374" t="s">
        <v>309</v>
      </c>
      <c r="P3396" s="283">
        <f>P3293</f>
        <v>99400</v>
      </c>
      <c r="Q3396" s="744" t="s">
        <v>869</v>
      </c>
      <c r="R3396" s="283">
        <f t="shared" ref="R3396:R3405" si="321">P3396*M3396</f>
        <v>2180.84</v>
      </c>
      <c r="W3396" s="744"/>
    </row>
    <row r="3397" spans="6:23" ht="24" customHeight="1">
      <c r="F3397" s="283">
        <v>1</v>
      </c>
      <c r="G3397" s="283" t="s">
        <v>868</v>
      </c>
      <c r="H3397" s="374" t="s">
        <v>3268</v>
      </c>
      <c r="I3397" s="283">
        <f t="shared" si="320"/>
        <v>49.55</v>
      </c>
      <c r="J3397" s="744" t="s">
        <v>868</v>
      </c>
      <c r="K3397" s="283">
        <v>37</v>
      </c>
      <c r="M3397" s="782">
        <v>0.86880000000000002</v>
      </c>
      <c r="N3397" s="283" t="s">
        <v>609</v>
      </c>
      <c r="O3397" s="374" t="s">
        <v>2091</v>
      </c>
      <c r="P3397" s="283">
        <f>P3363</f>
        <v>387.4</v>
      </c>
      <c r="Q3397" s="744" t="s">
        <v>869</v>
      </c>
      <c r="R3397" s="283">
        <f t="shared" si="321"/>
        <v>336.57</v>
      </c>
      <c r="W3397" s="744"/>
    </row>
    <row r="3398" spans="6:23" ht="24" customHeight="1">
      <c r="H3398" s="283" t="s">
        <v>1336</v>
      </c>
      <c r="J3398" s="744"/>
      <c r="K3398" s="790"/>
      <c r="M3398" s="783">
        <v>2.081</v>
      </c>
      <c r="N3398" s="283" t="s">
        <v>609</v>
      </c>
      <c r="O3398" s="374" t="s">
        <v>447</v>
      </c>
      <c r="P3398" s="283">
        <f>P3295</f>
        <v>1281</v>
      </c>
      <c r="Q3398" s="744" t="s">
        <v>609</v>
      </c>
      <c r="R3398" s="283">
        <f t="shared" si="321"/>
        <v>2665.76</v>
      </c>
      <c r="W3398" s="744"/>
    </row>
    <row r="3399" spans="6:23" ht="24" customHeight="1">
      <c r="J3399" s="744"/>
      <c r="K3399" s="748" t="s">
        <v>1586</v>
      </c>
      <c r="M3399" s="283">
        <v>2</v>
      </c>
      <c r="N3399" s="283" t="s">
        <v>769</v>
      </c>
      <c r="O3399" s="374" t="s">
        <v>3264</v>
      </c>
      <c r="P3399" s="283">
        <f t="shared" ref="P3399:P3404" si="322">P3296</f>
        <v>57.65</v>
      </c>
      <c r="Q3399" s="744" t="s">
        <v>868</v>
      </c>
      <c r="R3399" s="283">
        <f t="shared" si="321"/>
        <v>115.3</v>
      </c>
      <c r="W3399" s="744"/>
    </row>
    <row r="3400" spans="6:23" ht="24" customHeight="1">
      <c r="H3400" s="374" t="s">
        <v>2768</v>
      </c>
      <c r="J3400" s="744"/>
      <c r="K3400" s="283">
        <v>6067.81</v>
      </c>
      <c r="M3400" s="283">
        <v>4</v>
      </c>
      <c r="N3400" s="283" t="s">
        <v>868</v>
      </c>
      <c r="O3400" s="374" t="s">
        <v>1464</v>
      </c>
      <c r="P3400" s="283">
        <f t="shared" si="322"/>
        <v>89.6</v>
      </c>
      <c r="Q3400" s="744" t="s">
        <v>868</v>
      </c>
      <c r="R3400" s="283">
        <f t="shared" si="321"/>
        <v>358.4</v>
      </c>
      <c r="W3400" s="744"/>
    </row>
    <row r="3401" spans="6:23" ht="24" customHeight="1">
      <c r="J3401" s="744"/>
      <c r="K3401" s="748" t="s">
        <v>1586</v>
      </c>
      <c r="M3401" s="283">
        <v>2</v>
      </c>
      <c r="N3401" s="283" t="s">
        <v>868</v>
      </c>
      <c r="O3401" s="374" t="s">
        <v>3265</v>
      </c>
      <c r="P3401" s="283">
        <f t="shared" si="322"/>
        <v>97.85</v>
      </c>
      <c r="Q3401" s="744" t="s">
        <v>868</v>
      </c>
      <c r="R3401" s="283">
        <f t="shared" si="321"/>
        <v>195.7</v>
      </c>
      <c r="W3401" s="744"/>
    </row>
    <row r="3402" spans="6:23" ht="24" customHeight="1">
      <c r="H3402" s="745" t="s">
        <v>552</v>
      </c>
      <c r="J3402" s="750" t="s">
        <v>721</v>
      </c>
      <c r="K3402" s="751">
        <v>2915.81</v>
      </c>
      <c r="M3402" s="283">
        <v>1</v>
      </c>
      <c r="N3402" s="283" t="s">
        <v>868</v>
      </c>
      <c r="O3402" s="374" t="s">
        <v>3266</v>
      </c>
      <c r="P3402" s="283">
        <f t="shared" si="322"/>
        <v>209.9</v>
      </c>
      <c r="Q3402" s="744" t="s">
        <v>868</v>
      </c>
      <c r="R3402" s="283">
        <f t="shared" si="321"/>
        <v>209.9</v>
      </c>
      <c r="W3402" s="744"/>
    </row>
    <row r="3403" spans="6:23" ht="24" customHeight="1">
      <c r="K3403" s="748" t="s">
        <v>2055</v>
      </c>
      <c r="M3403" s="283">
        <v>1</v>
      </c>
      <c r="N3403" s="283" t="s">
        <v>868</v>
      </c>
      <c r="O3403" s="374" t="s">
        <v>3267</v>
      </c>
      <c r="P3403" s="283">
        <f t="shared" si="322"/>
        <v>23.1</v>
      </c>
      <c r="Q3403" s="744" t="s">
        <v>868</v>
      </c>
      <c r="R3403" s="283">
        <f t="shared" si="321"/>
        <v>23.1</v>
      </c>
      <c r="W3403" s="744"/>
    </row>
    <row r="3404" spans="6:23" ht="24" customHeight="1">
      <c r="M3404" s="283">
        <v>1</v>
      </c>
      <c r="N3404" s="283" t="s">
        <v>868</v>
      </c>
      <c r="O3404" s="374" t="s">
        <v>3268</v>
      </c>
      <c r="P3404" s="283">
        <f t="shared" si="322"/>
        <v>49.55</v>
      </c>
      <c r="Q3404" s="744" t="s">
        <v>868</v>
      </c>
      <c r="R3404" s="283">
        <f t="shared" si="321"/>
        <v>49.55</v>
      </c>
      <c r="W3404" s="744"/>
    </row>
    <row r="3405" spans="6:23" ht="24" customHeight="1">
      <c r="M3405" s="283">
        <v>58</v>
      </c>
      <c r="N3405" s="283" t="s">
        <v>868</v>
      </c>
      <c r="O3405" s="283" t="s">
        <v>1336</v>
      </c>
      <c r="P3405" s="283">
        <f>P3371</f>
        <v>2.41</v>
      </c>
      <c r="Q3405" s="744"/>
      <c r="R3405" s="283">
        <f t="shared" si="321"/>
        <v>139.78</v>
      </c>
      <c r="W3405" s="744"/>
    </row>
    <row r="3406" spans="6:23" ht="24" customHeight="1">
      <c r="Q3406" s="744"/>
      <c r="R3406" s="748" t="s">
        <v>1586</v>
      </c>
      <c r="W3406" s="744"/>
    </row>
    <row r="3407" spans="6:23" ht="24" customHeight="1">
      <c r="H3407" s="757" t="s">
        <v>3953</v>
      </c>
      <c r="I3407" s="757"/>
      <c r="O3407" s="374" t="s">
        <v>2768</v>
      </c>
      <c r="Q3407" s="744"/>
      <c r="R3407" s="283">
        <f>SUM(R3395:R3405)</f>
        <v>10627.3</v>
      </c>
      <c r="W3407" s="744"/>
    </row>
    <row r="3408" spans="6:23" ht="24" customHeight="1">
      <c r="Q3408" s="744"/>
      <c r="R3408" s="748" t="s">
        <v>1586</v>
      </c>
      <c r="W3408" s="744"/>
    </row>
    <row r="3409" spans="6:23" ht="24" customHeight="1">
      <c r="F3409" s="283" t="s">
        <v>3954</v>
      </c>
      <c r="I3409" s="846">
        <f>2*0.95*2.325</f>
        <v>4.4175000000000004</v>
      </c>
      <c r="O3409" s="745" t="s">
        <v>552</v>
      </c>
      <c r="Q3409" s="750" t="s">
        <v>721</v>
      </c>
      <c r="R3409" s="751">
        <f>R3407/M3398</f>
        <v>5106.82</v>
      </c>
      <c r="W3409" s="744"/>
    </row>
    <row r="3410" spans="6:23" ht="24" customHeight="1">
      <c r="F3410" s="283" t="s">
        <v>3955</v>
      </c>
      <c r="I3410" s="846">
        <f>2*2*2.325*0.075*0.0375</f>
        <v>2.6200000000000001E-2</v>
      </c>
      <c r="Q3410" s="374"/>
      <c r="R3410" s="748" t="s">
        <v>2055</v>
      </c>
      <c r="W3410" s="744"/>
    </row>
    <row r="3411" spans="6:23" ht="24" customHeight="1">
      <c r="F3411" s="283" t="s">
        <v>2021</v>
      </c>
      <c r="I3411" s="783">
        <f>2*3*0.95*0.15*0.0375</f>
        <v>3.2099999999999997E-2</v>
      </c>
      <c r="W3411" s="744"/>
    </row>
    <row r="3412" spans="6:23" ht="24" customHeight="1">
      <c r="F3412" s="283" t="s">
        <v>3956</v>
      </c>
      <c r="G3412" s="283" t="s">
        <v>3957</v>
      </c>
      <c r="I3412" s="783">
        <f>2*2*0.95*0.075*0.0375</f>
        <v>1.0699999999999999E-2</v>
      </c>
      <c r="O3412" s="751"/>
      <c r="Q3412" s="374"/>
      <c r="W3412" s="744"/>
    </row>
    <row r="3413" spans="6:23" ht="24" customHeight="1">
      <c r="I3413" s="847">
        <f>SUM(I3411:I3412)</f>
        <v>4.2799999999999998E-2</v>
      </c>
      <c r="W3413" s="744"/>
    </row>
    <row r="3414" spans="6:23" ht="24" customHeight="1">
      <c r="W3414" s="744"/>
    </row>
    <row r="3415" spans="6:23" ht="24" customHeight="1">
      <c r="W3415" s="744"/>
    </row>
    <row r="3416" spans="6:23" ht="24" customHeight="1">
      <c r="F3416" s="283" t="s">
        <v>3958</v>
      </c>
      <c r="I3416" s="783">
        <f>2*4*0.825*0.36*0.01875</f>
        <v>4.4600000000000001E-2</v>
      </c>
      <c r="W3416" s="744"/>
    </row>
    <row r="3417" spans="6:23" ht="24" customHeight="1">
      <c r="F3417" s="283" t="s">
        <v>3959</v>
      </c>
      <c r="I3417" s="783">
        <f>2*0.825*0.36*0.01875</f>
        <v>1.11E-2</v>
      </c>
      <c r="W3417" s="744"/>
    </row>
    <row r="3418" spans="6:23" ht="24" customHeight="1">
      <c r="I3418" s="847">
        <f>SUM(I3416:I3417)</f>
        <v>5.57E-2</v>
      </c>
      <c r="W3418" s="744"/>
    </row>
    <row r="3419" spans="6:23" ht="24" customHeight="1">
      <c r="H3419" s="751" t="s">
        <v>1622</v>
      </c>
      <c r="M3419" s="744"/>
      <c r="N3419" s="283" t="s">
        <v>2251</v>
      </c>
      <c r="O3419" s="374" t="s">
        <v>3270</v>
      </c>
      <c r="Q3419" s="744"/>
      <c r="W3419" s="744"/>
    </row>
    <row r="3420" spans="6:23" ht="24" customHeight="1">
      <c r="O3420" s="374" t="s">
        <v>256</v>
      </c>
      <c r="Q3420" s="744"/>
      <c r="W3420" s="744"/>
    </row>
    <row r="3421" spans="6:23" ht="24" customHeight="1">
      <c r="F3421" s="783">
        <f>I3410</f>
        <v>2.6200000000000001E-2</v>
      </c>
      <c r="G3421" s="283" t="s">
        <v>869</v>
      </c>
      <c r="H3421" s="283" t="s">
        <v>2487</v>
      </c>
      <c r="I3421" s="283">
        <f>I2634</f>
        <v>111600</v>
      </c>
      <c r="J3421" s="374" t="s">
        <v>869</v>
      </c>
      <c r="K3421" s="283">
        <f>F3421*I3421</f>
        <v>2923.92</v>
      </c>
      <c r="O3421" s="833" t="s">
        <v>3276</v>
      </c>
      <c r="Q3421" s="744"/>
      <c r="W3421" s="744"/>
    </row>
    <row r="3422" spans="6:23" ht="24" customHeight="1">
      <c r="F3422" s="783">
        <f>I3413</f>
        <v>4.2799999999999998E-2</v>
      </c>
      <c r="G3422" s="283" t="s">
        <v>869</v>
      </c>
      <c r="H3422" s="283" t="s">
        <v>2488</v>
      </c>
      <c r="I3422" s="283">
        <f>I2635</f>
        <v>99400</v>
      </c>
      <c r="J3422" s="374" t="s">
        <v>869</v>
      </c>
      <c r="K3422" s="283">
        <f t="shared" ref="K3422:K3431" si="323">F3422*I3422</f>
        <v>4254.32</v>
      </c>
      <c r="O3422" s="748" t="s">
        <v>1586</v>
      </c>
      <c r="Q3422" s="744"/>
      <c r="W3422" s="744"/>
    </row>
    <row r="3423" spans="6:23" ht="24" customHeight="1">
      <c r="F3423" s="782">
        <f>I3418</f>
        <v>5.57E-2</v>
      </c>
      <c r="G3423" s="283" t="s">
        <v>869</v>
      </c>
      <c r="H3423" s="283" t="s">
        <v>3960</v>
      </c>
      <c r="I3423" s="283">
        <f>I2636</f>
        <v>107000</v>
      </c>
      <c r="J3423" s="374" t="s">
        <v>869</v>
      </c>
      <c r="K3423" s="283">
        <f t="shared" si="323"/>
        <v>5959.9</v>
      </c>
      <c r="O3423" s="374" t="s">
        <v>3277</v>
      </c>
      <c r="P3423" s="784" t="s">
        <v>2055</v>
      </c>
      <c r="Q3423" s="803">
        <v>2.4279999999999999</v>
      </c>
      <c r="R3423" s="283" t="s">
        <v>2283</v>
      </c>
      <c r="W3423" s="744"/>
    </row>
    <row r="3424" spans="6:23" ht="24" customHeight="1">
      <c r="F3424" s="783">
        <f>I3409</f>
        <v>4.4175000000000004</v>
      </c>
      <c r="G3424" s="283" t="s">
        <v>609</v>
      </c>
      <c r="H3424" s="283" t="s">
        <v>883</v>
      </c>
      <c r="I3424" s="283">
        <f>I2637</f>
        <v>1537</v>
      </c>
      <c r="J3424" s="374" t="s">
        <v>609</v>
      </c>
      <c r="K3424" s="283">
        <f t="shared" si="323"/>
        <v>6789.7</v>
      </c>
      <c r="O3424" s="374"/>
      <c r="P3424" s="784"/>
      <c r="Q3424" s="803"/>
      <c r="W3424" s="744"/>
    </row>
    <row r="3425" spans="6:23" ht="24" customHeight="1">
      <c r="F3425" s="283">
        <v>2</v>
      </c>
      <c r="G3425" s="283" t="s">
        <v>1873</v>
      </c>
      <c r="H3425" s="283" t="s">
        <v>3736</v>
      </c>
      <c r="I3425" s="283">
        <v>450</v>
      </c>
      <c r="J3425" s="374" t="s">
        <v>1398</v>
      </c>
      <c r="K3425" s="283">
        <f t="shared" si="323"/>
        <v>900</v>
      </c>
      <c r="O3425" s="374" t="s">
        <v>6134</v>
      </c>
      <c r="P3425" s="784" t="s">
        <v>2055</v>
      </c>
      <c r="Q3425" s="847">
        <v>5.1999999999999998E-2</v>
      </c>
      <c r="R3425" s="283" t="s">
        <v>2151</v>
      </c>
      <c r="W3425" s="744"/>
    </row>
    <row r="3426" spans="6:23" ht="24" customHeight="1">
      <c r="F3426" s="283">
        <v>6</v>
      </c>
      <c r="G3426" s="283" t="s">
        <v>1873</v>
      </c>
      <c r="H3426" s="283" t="s">
        <v>3737</v>
      </c>
      <c r="I3426" s="283">
        <v>79</v>
      </c>
      <c r="J3426" s="374" t="s">
        <v>1398</v>
      </c>
      <c r="K3426" s="283">
        <f t="shared" si="323"/>
        <v>474</v>
      </c>
      <c r="O3426" s="374" t="s">
        <v>3259</v>
      </c>
      <c r="Q3426" s="784"/>
      <c r="W3426" s="744"/>
    </row>
    <row r="3427" spans="6:23" ht="24" customHeight="1">
      <c r="F3427" s="283">
        <v>4</v>
      </c>
      <c r="G3427" s="283" t="s">
        <v>1873</v>
      </c>
      <c r="H3427" s="283" t="s">
        <v>3738</v>
      </c>
      <c r="I3427" s="283">
        <v>130</v>
      </c>
      <c r="J3427" s="374" t="s">
        <v>1398</v>
      </c>
      <c r="K3427" s="283">
        <f t="shared" si="323"/>
        <v>520</v>
      </c>
      <c r="O3427" s="374" t="s">
        <v>3278</v>
      </c>
      <c r="P3427" s="784" t="s">
        <v>2055</v>
      </c>
      <c r="Q3427" s="871">
        <v>1.772E-2</v>
      </c>
      <c r="W3427" s="744"/>
    </row>
    <row r="3428" spans="6:23" ht="24" customHeight="1">
      <c r="F3428" s="283">
        <v>1</v>
      </c>
      <c r="G3428" s="283" t="s">
        <v>1873</v>
      </c>
      <c r="H3428" s="283" t="s">
        <v>3739</v>
      </c>
      <c r="I3428" s="283">
        <v>985</v>
      </c>
      <c r="J3428" s="374" t="s">
        <v>1398</v>
      </c>
      <c r="K3428" s="283">
        <f t="shared" si="323"/>
        <v>985</v>
      </c>
      <c r="O3428" s="374" t="s">
        <v>3279</v>
      </c>
      <c r="P3428" s="784" t="s">
        <v>2055</v>
      </c>
      <c r="Q3428" s="875">
        <v>7.8750000000000001E-3</v>
      </c>
      <c r="R3428" s="782"/>
      <c r="W3428" s="744"/>
    </row>
    <row r="3429" spans="6:23" ht="24" customHeight="1">
      <c r="F3429" s="283">
        <v>2</v>
      </c>
      <c r="G3429" s="283" t="s">
        <v>1873</v>
      </c>
      <c r="H3429" s="283" t="s">
        <v>3731</v>
      </c>
      <c r="I3429" s="283">
        <f>I3396</f>
        <v>23.1</v>
      </c>
      <c r="J3429" s="374" t="s">
        <v>1398</v>
      </c>
      <c r="K3429" s="283">
        <f t="shared" si="323"/>
        <v>46.2</v>
      </c>
      <c r="Q3429" s="748" t="s">
        <v>1586</v>
      </c>
      <c r="W3429" s="744"/>
    </row>
    <row r="3430" spans="6:23" ht="24" customHeight="1">
      <c r="F3430" s="283">
        <v>2</v>
      </c>
      <c r="G3430" s="283" t="s">
        <v>1873</v>
      </c>
      <c r="H3430" s="283" t="s">
        <v>1982</v>
      </c>
      <c r="I3430" s="283">
        <f>I3397</f>
        <v>49.55</v>
      </c>
      <c r="J3430" s="374" t="s">
        <v>1398</v>
      </c>
      <c r="K3430" s="283">
        <f t="shared" si="323"/>
        <v>99.1</v>
      </c>
      <c r="Q3430" s="872">
        <v>2.5600000000000001E-2</v>
      </c>
      <c r="R3430" s="283" t="s">
        <v>2151</v>
      </c>
      <c r="W3430" s="744"/>
    </row>
    <row r="3431" spans="6:23" ht="24" customHeight="1">
      <c r="F3431" s="746">
        <v>130</v>
      </c>
      <c r="G3431" s="283" t="s">
        <v>1873</v>
      </c>
      <c r="H3431" s="283" t="s">
        <v>1141</v>
      </c>
      <c r="I3431" s="283">
        <f>I3329</f>
        <v>2.41</v>
      </c>
      <c r="K3431" s="283">
        <f t="shared" si="323"/>
        <v>313.3</v>
      </c>
      <c r="Q3431" s="748" t="s">
        <v>1586</v>
      </c>
      <c r="W3431" s="744"/>
    </row>
    <row r="3432" spans="6:23" ht="24" customHeight="1">
      <c r="K3432" s="785"/>
      <c r="O3432" s="374" t="s">
        <v>2382</v>
      </c>
      <c r="Q3432" s="847">
        <v>0.58750000000000002</v>
      </c>
      <c r="R3432" s="796" t="s">
        <v>2283</v>
      </c>
      <c r="W3432" s="744"/>
    </row>
    <row r="3433" spans="6:23" ht="24" customHeight="1">
      <c r="G3433" s="751"/>
      <c r="H3433" s="751" t="s">
        <v>3961</v>
      </c>
      <c r="K3433" s="751">
        <f>SUM(K3421:K3432)</f>
        <v>23265.439999999999</v>
      </c>
      <c r="O3433" s="374" t="s">
        <v>2383</v>
      </c>
      <c r="Q3433" s="847">
        <v>5.3E-3</v>
      </c>
      <c r="R3433" s="796" t="s">
        <v>2151</v>
      </c>
      <c r="W3433" s="744"/>
    </row>
    <row r="3434" spans="6:23" ht="24" customHeight="1">
      <c r="G3434" s="751"/>
      <c r="K3434" s="785" t="s">
        <v>146</v>
      </c>
      <c r="O3434" s="374" t="s">
        <v>2384</v>
      </c>
      <c r="Q3434" s="847">
        <v>6.7</v>
      </c>
      <c r="R3434" s="796" t="s">
        <v>826</v>
      </c>
      <c r="W3434" s="744"/>
    </row>
    <row r="3435" spans="6:23" ht="24" customHeight="1">
      <c r="G3435" s="751"/>
      <c r="H3435" s="751" t="s">
        <v>552</v>
      </c>
      <c r="K3435" s="751">
        <f>K3433/F3424</f>
        <v>5266.65</v>
      </c>
      <c r="Q3435" s="748"/>
      <c r="R3435" s="748"/>
      <c r="W3435" s="744"/>
    </row>
    <row r="3436" spans="6:23" ht="24" customHeight="1">
      <c r="G3436" s="283" t="s">
        <v>2251</v>
      </c>
      <c r="H3436" s="374" t="s">
        <v>6138</v>
      </c>
      <c r="J3436" s="744"/>
      <c r="M3436" s="782">
        <v>5.1999999999999998E-2</v>
      </c>
      <c r="N3436" s="283" t="s">
        <v>869</v>
      </c>
      <c r="O3436" s="374" t="s">
        <v>308</v>
      </c>
      <c r="P3436" s="283">
        <f>P3222</f>
        <v>111600</v>
      </c>
      <c r="Q3436" s="744" t="s">
        <v>869</v>
      </c>
      <c r="R3436" s="283">
        <f>P3436*M3436</f>
        <v>5803.2</v>
      </c>
      <c r="W3436" s="744"/>
    </row>
    <row r="3437" spans="6:23" ht="24" customHeight="1">
      <c r="H3437" s="374" t="s">
        <v>1524</v>
      </c>
      <c r="J3437" s="744"/>
      <c r="M3437" s="782">
        <v>2.5600000000000001E-2</v>
      </c>
      <c r="N3437" s="283" t="s">
        <v>869</v>
      </c>
      <c r="O3437" s="374" t="s">
        <v>309</v>
      </c>
      <c r="P3437" s="283">
        <f>P3223</f>
        <v>99400</v>
      </c>
      <c r="Q3437" s="744" t="s">
        <v>869</v>
      </c>
      <c r="R3437" s="283">
        <f t="shared" ref="R3437:R3449" si="324">P3437*M3437</f>
        <v>2544.64</v>
      </c>
      <c r="W3437" s="744"/>
    </row>
    <row r="3438" spans="6:23" ht="24" customHeight="1">
      <c r="H3438" s="745" t="s">
        <v>1898</v>
      </c>
      <c r="J3438" s="744"/>
      <c r="M3438" s="782">
        <v>5.3E-3</v>
      </c>
      <c r="N3438" s="283" t="s">
        <v>869</v>
      </c>
      <c r="O3438" s="374" t="s">
        <v>3263</v>
      </c>
      <c r="P3438" s="283">
        <f>P3224</f>
        <v>107000</v>
      </c>
      <c r="Q3438" s="744" t="s">
        <v>869</v>
      </c>
      <c r="R3438" s="283">
        <f t="shared" si="324"/>
        <v>567.1</v>
      </c>
      <c r="W3438" s="744"/>
    </row>
    <row r="3439" spans="6:23" ht="24" customHeight="1">
      <c r="H3439" s="748" t="s">
        <v>1586</v>
      </c>
      <c r="J3439" s="744"/>
      <c r="M3439" s="783"/>
      <c r="O3439" s="374" t="s">
        <v>945</v>
      </c>
      <c r="Q3439" s="744"/>
      <c r="R3439" s="283">
        <f t="shared" si="324"/>
        <v>0</v>
      </c>
      <c r="W3439" s="744"/>
    </row>
    <row r="3440" spans="6:23" ht="24" customHeight="1">
      <c r="F3440" s="283">
        <f>F3341</f>
        <v>1.34</v>
      </c>
      <c r="G3440" s="283" t="s">
        <v>1645</v>
      </c>
      <c r="H3440" s="374" t="s">
        <v>5351</v>
      </c>
      <c r="I3440" s="283">
        <v>73.8</v>
      </c>
      <c r="J3440" s="374" t="s">
        <v>1645</v>
      </c>
      <c r="K3440" s="283">
        <f>I3440*F3440</f>
        <v>98.89</v>
      </c>
      <c r="M3440" s="783">
        <v>0.58750000000000002</v>
      </c>
      <c r="N3440" s="283" t="s">
        <v>609</v>
      </c>
      <c r="O3440" s="374" t="s">
        <v>3273</v>
      </c>
      <c r="P3440" s="283">
        <f>P3226</f>
        <v>562.5</v>
      </c>
      <c r="Q3440" s="744" t="s">
        <v>609</v>
      </c>
      <c r="R3440" s="283">
        <f t="shared" si="324"/>
        <v>330.47</v>
      </c>
      <c r="W3440" s="744"/>
    </row>
    <row r="3441" spans="6:23" ht="24" customHeight="1">
      <c r="F3441" s="283">
        <f>F3342</f>
        <v>0.5</v>
      </c>
      <c r="G3441" s="283" t="s">
        <v>769</v>
      </c>
      <c r="H3441" s="374" t="s">
        <v>1179</v>
      </c>
      <c r="I3441" s="283">
        <f>I3342</f>
        <v>797</v>
      </c>
      <c r="J3441" s="283" t="s">
        <v>769</v>
      </c>
      <c r="K3441" s="283">
        <f>I3441*F3441</f>
        <v>398.5</v>
      </c>
      <c r="M3441" s="783">
        <v>6.7</v>
      </c>
      <c r="N3441" s="283" t="s">
        <v>1771</v>
      </c>
      <c r="O3441" s="374" t="s">
        <v>3275</v>
      </c>
      <c r="P3441" s="283">
        <f>P3227</f>
        <v>15.45</v>
      </c>
      <c r="Q3441" s="744" t="s">
        <v>826</v>
      </c>
      <c r="R3441" s="283">
        <f t="shared" si="324"/>
        <v>103.52</v>
      </c>
      <c r="W3441" s="744"/>
    </row>
    <row r="3442" spans="6:23" ht="24" customHeight="1">
      <c r="F3442" s="283">
        <f>F3343</f>
        <v>0.5</v>
      </c>
      <c r="G3442" s="283" t="s">
        <v>769</v>
      </c>
      <c r="H3442" s="374" t="s">
        <v>1902</v>
      </c>
      <c r="I3442" s="283">
        <f>I3343</f>
        <v>651</v>
      </c>
      <c r="J3442" s="283" t="s">
        <v>769</v>
      </c>
      <c r="K3442" s="283">
        <f>I3442*F3442</f>
        <v>325.5</v>
      </c>
      <c r="M3442" s="783">
        <v>2.4279999999999999</v>
      </c>
      <c r="N3442" s="283" t="s">
        <v>609</v>
      </c>
      <c r="O3442" s="374" t="s">
        <v>447</v>
      </c>
      <c r="P3442" s="283">
        <f>P3228</f>
        <v>0</v>
      </c>
      <c r="Q3442" s="744" t="s">
        <v>609</v>
      </c>
      <c r="R3442" s="283">
        <f t="shared" si="324"/>
        <v>0</v>
      </c>
      <c r="W3442" s="744"/>
    </row>
    <row r="3443" spans="6:23" ht="24" customHeight="1">
      <c r="F3443" s="283">
        <f>F3344</f>
        <v>0.8</v>
      </c>
      <c r="G3443" s="283" t="s">
        <v>769</v>
      </c>
      <c r="H3443" s="374" t="s">
        <v>320</v>
      </c>
      <c r="I3443" s="283">
        <f>I3344</f>
        <v>534</v>
      </c>
      <c r="J3443" s="283" t="s">
        <v>769</v>
      </c>
      <c r="K3443" s="283">
        <f>I3443*F3443</f>
        <v>427.2</v>
      </c>
      <c r="M3443" s="283">
        <v>4</v>
      </c>
      <c r="N3443" s="283" t="s">
        <v>769</v>
      </c>
      <c r="O3443" s="374" t="s">
        <v>3264</v>
      </c>
      <c r="P3443" s="283">
        <f t="shared" ref="P3443:P3448" si="325">P3229</f>
        <v>57.65</v>
      </c>
      <c r="Q3443" s="744" t="s">
        <v>868</v>
      </c>
      <c r="R3443" s="283">
        <f t="shared" si="324"/>
        <v>230.6</v>
      </c>
      <c r="W3443" s="744"/>
    </row>
    <row r="3444" spans="6:23" ht="35.1" customHeight="1">
      <c r="F3444" s="283">
        <f>F3369</f>
        <v>10</v>
      </c>
      <c r="G3444" s="283" t="s">
        <v>2283</v>
      </c>
      <c r="H3444" s="374" t="s">
        <v>3866</v>
      </c>
      <c r="I3444" s="283">
        <f>I3356</f>
        <v>0</v>
      </c>
      <c r="J3444" s="283" t="s">
        <v>2283</v>
      </c>
      <c r="K3444" s="283">
        <f>I3444*F3444</f>
        <v>0</v>
      </c>
      <c r="M3444" s="283">
        <v>8</v>
      </c>
      <c r="N3444" s="283" t="s">
        <v>868</v>
      </c>
      <c r="O3444" s="374" t="s">
        <v>1464</v>
      </c>
      <c r="P3444" s="283">
        <f t="shared" si="325"/>
        <v>89.6</v>
      </c>
      <c r="Q3444" s="744" t="s">
        <v>868</v>
      </c>
      <c r="R3444" s="283">
        <f t="shared" si="324"/>
        <v>716.8</v>
      </c>
      <c r="W3444" s="744"/>
    </row>
    <row r="3445" spans="6:23" ht="24" customHeight="1">
      <c r="G3445" s="283" t="s">
        <v>449</v>
      </c>
      <c r="H3445" s="374" t="s">
        <v>1181</v>
      </c>
      <c r="I3445" s="374" t="s">
        <v>975</v>
      </c>
      <c r="J3445" s="744" t="s">
        <v>449</v>
      </c>
      <c r="K3445" s="283">
        <v>2.5</v>
      </c>
      <c r="M3445" s="283">
        <v>4</v>
      </c>
      <c r="N3445" s="283" t="s">
        <v>868</v>
      </c>
      <c r="O3445" s="374" t="s">
        <v>3265</v>
      </c>
      <c r="P3445" s="283">
        <f t="shared" si="325"/>
        <v>97.85</v>
      </c>
      <c r="Q3445" s="744" t="s">
        <v>868</v>
      </c>
      <c r="R3445" s="283">
        <f t="shared" si="324"/>
        <v>391.4</v>
      </c>
      <c r="W3445" s="744"/>
    </row>
    <row r="3446" spans="6:23" ht="24" customHeight="1">
      <c r="H3446" s="374" t="s">
        <v>441</v>
      </c>
      <c r="J3446" s="744"/>
      <c r="K3446" s="283">
        <f>SUM(K3440:K3445)</f>
        <v>1252.5899999999999</v>
      </c>
      <c r="M3446" s="283">
        <v>1</v>
      </c>
      <c r="N3446" s="283" t="s">
        <v>868</v>
      </c>
      <c r="O3446" s="374" t="s">
        <v>3266</v>
      </c>
      <c r="P3446" s="283">
        <f t="shared" si="325"/>
        <v>209.9</v>
      </c>
      <c r="Q3446" s="744" t="s">
        <v>868</v>
      </c>
      <c r="R3446" s="283">
        <f t="shared" si="324"/>
        <v>209.9</v>
      </c>
      <c r="W3446" s="744"/>
    </row>
    <row r="3447" spans="6:23" ht="24" customHeight="1">
      <c r="J3447" s="744"/>
      <c r="K3447" s="748" t="s">
        <v>1586</v>
      </c>
      <c r="M3447" s="283">
        <v>2</v>
      </c>
      <c r="N3447" s="283" t="s">
        <v>868</v>
      </c>
      <c r="O3447" s="374" t="s">
        <v>3267</v>
      </c>
      <c r="P3447" s="283">
        <f t="shared" si="325"/>
        <v>23.1</v>
      </c>
      <c r="Q3447" s="744" t="s">
        <v>868</v>
      </c>
      <c r="R3447" s="283">
        <f t="shared" si="324"/>
        <v>46.2</v>
      </c>
      <c r="W3447" s="744"/>
    </row>
    <row r="3448" spans="6:23" ht="24" customHeight="1">
      <c r="H3448" s="745" t="s">
        <v>552</v>
      </c>
      <c r="J3448" s="744"/>
      <c r="K3448" s="751">
        <f>(K3446/10)</f>
        <v>125.26</v>
      </c>
      <c r="M3448" s="283">
        <v>2</v>
      </c>
      <c r="N3448" s="283" t="s">
        <v>868</v>
      </c>
      <c r="O3448" s="374" t="s">
        <v>3268</v>
      </c>
      <c r="P3448" s="283">
        <f t="shared" si="325"/>
        <v>49.55</v>
      </c>
      <c r="Q3448" s="744" t="s">
        <v>868</v>
      </c>
      <c r="R3448" s="283">
        <f t="shared" si="324"/>
        <v>99.1</v>
      </c>
      <c r="W3448" s="744"/>
    </row>
    <row r="3449" spans="6:23" ht="24" customHeight="1">
      <c r="H3449" s="745" t="s">
        <v>6051</v>
      </c>
      <c r="J3449" s="744"/>
      <c r="K3449" s="751">
        <f>K3448/2</f>
        <v>62.63</v>
      </c>
      <c r="M3449" s="283">
        <v>118</v>
      </c>
      <c r="N3449" s="283" t="s">
        <v>868</v>
      </c>
      <c r="O3449" s="283" t="s">
        <v>1336</v>
      </c>
      <c r="P3449" s="283">
        <f>P3405</f>
        <v>2.41</v>
      </c>
      <c r="Q3449" s="744" t="s">
        <v>868</v>
      </c>
      <c r="R3449" s="283">
        <f t="shared" si="324"/>
        <v>284.38</v>
      </c>
      <c r="W3449" s="744"/>
    </row>
    <row r="3450" spans="6:23" ht="24" customHeight="1">
      <c r="Q3450" s="744"/>
      <c r="R3450" s="748" t="s">
        <v>1586</v>
      </c>
      <c r="W3450" s="744"/>
    </row>
    <row r="3451" spans="6:23" ht="24" customHeight="1">
      <c r="F3451" s="765">
        <v>29.5</v>
      </c>
      <c r="G3451" s="283" t="s">
        <v>2251</v>
      </c>
      <c r="H3451" s="374" t="s">
        <v>3101</v>
      </c>
      <c r="J3451" s="744"/>
      <c r="O3451" s="374" t="s">
        <v>3283</v>
      </c>
      <c r="Q3451" s="744"/>
      <c r="R3451" s="283">
        <f>SUM(R3436:R3450)</f>
        <v>11327.31</v>
      </c>
      <c r="W3451" s="744"/>
    </row>
    <row r="3452" spans="6:23" ht="24" customHeight="1">
      <c r="H3452" s="374" t="s">
        <v>3102</v>
      </c>
      <c r="J3452" s="744"/>
      <c r="Q3452" s="744"/>
      <c r="R3452" s="748" t="s">
        <v>1586</v>
      </c>
      <c r="W3452" s="744"/>
    </row>
    <row r="3453" spans="6:23" ht="24" customHeight="1">
      <c r="H3453" s="374" t="s">
        <v>1936</v>
      </c>
      <c r="J3453" s="744"/>
      <c r="O3453" s="745" t="s">
        <v>552</v>
      </c>
      <c r="Q3453" s="750" t="s">
        <v>721</v>
      </c>
      <c r="R3453" s="751">
        <f>R3451/M3442</f>
        <v>4665.28</v>
      </c>
      <c r="W3453" s="744"/>
    </row>
    <row r="3454" spans="6:23" ht="24" customHeight="1">
      <c r="H3454" s="748" t="s">
        <v>1586</v>
      </c>
      <c r="I3454" s="748" t="s">
        <v>1586</v>
      </c>
      <c r="J3454" s="744"/>
      <c r="W3454" s="744"/>
    </row>
    <row r="3455" spans="6:23" ht="24" customHeight="1">
      <c r="F3455" s="283">
        <v>10</v>
      </c>
      <c r="G3455" s="283" t="s">
        <v>609</v>
      </c>
      <c r="H3455" s="745" t="s">
        <v>3431</v>
      </c>
      <c r="I3455" s="750">
        <v>416</v>
      </c>
      <c r="J3455" s="744" t="s">
        <v>609</v>
      </c>
      <c r="K3455" s="283">
        <f>F3455*I3455</f>
        <v>4160</v>
      </c>
      <c r="W3455" s="744"/>
    </row>
    <row r="3456" spans="6:23" ht="24" customHeight="1">
      <c r="F3456" s="283">
        <v>0.21</v>
      </c>
      <c r="G3456" s="283" t="s">
        <v>869</v>
      </c>
      <c r="H3456" s="374" t="s">
        <v>1876</v>
      </c>
      <c r="I3456" s="283">
        <f>K32</f>
        <v>5089.26</v>
      </c>
      <c r="J3456" s="744" t="s">
        <v>869</v>
      </c>
      <c r="K3456" s="283">
        <f>(F3456*I3456)</f>
        <v>1068.74</v>
      </c>
      <c r="W3456" s="744"/>
    </row>
    <row r="3457" spans="6:23" ht="24" customHeight="1">
      <c r="H3457" s="374" t="s">
        <v>1877</v>
      </c>
      <c r="J3457" s="744"/>
      <c r="K3457" s="374" t="s">
        <v>975</v>
      </c>
      <c r="M3457" s="765">
        <v>29.5</v>
      </c>
      <c r="N3457" s="283" t="s">
        <v>2251</v>
      </c>
      <c r="O3457" s="374" t="s">
        <v>3101</v>
      </c>
      <c r="Q3457" s="744"/>
      <c r="W3457" s="744"/>
    </row>
    <row r="3458" spans="6:23" ht="24" customHeight="1">
      <c r="F3458" s="283">
        <v>1.1000000000000001</v>
      </c>
      <c r="G3458" s="283" t="s">
        <v>769</v>
      </c>
      <c r="H3458" s="374" t="s">
        <v>2009</v>
      </c>
      <c r="I3458" s="283">
        <f>C10</f>
        <v>999</v>
      </c>
      <c r="J3458" s="744" t="s">
        <v>769</v>
      </c>
      <c r="K3458" s="283">
        <f>(F3458*I3458)</f>
        <v>1098.9000000000001</v>
      </c>
      <c r="O3458" s="374" t="s">
        <v>3102</v>
      </c>
      <c r="Q3458" s="744"/>
      <c r="W3458" s="744"/>
    </row>
    <row r="3459" spans="6:23" ht="24" customHeight="1">
      <c r="F3459" s="283">
        <v>1.1000000000000001</v>
      </c>
      <c r="G3459" s="283" t="s">
        <v>769</v>
      </c>
      <c r="H3459" s="374" t="s">
        <v>1712</v>
      </c>
      <c r="I3459" s="283">
        <f>C11</f>
        <v>932</v>
      </c>
      <c r="J3459" s="744" t="s">
        <v>769</v>
      </c>
      <c r="K3459" s="283">
        <f>(F3459*I3459)</f>
        <v>1025.2</v>
      </c>
      <c r="O3459" s="374" t="s">
        <v>1936</v>
      </c>
      <c r="Q3459" s="744"/>
      <c r="W3459" s="744"/>
    </row>
    <row r="3460" spans="6:23" ht="24" customHeight="1">
      <c r="F3460" s="283">
        <v>2.2000000000000002</v>
      </c>
      <c r="G3460" s="283" t="s">
        <v>769</v>
      </c>
      <c r="H3460" s="374" t="s">
        <v>1902</v>
      </c>
      <c r="I3460" s="283">
        <f>C12</f>
        <v>651</v>
      </c>
      <c r="J3460" s="744" t="s">
        <v>769</v>
      </c>
      <c r="K3460" s="283">
        <f>(F3460*I3460)</f>
        <v>1432.2</v>
      </c>
      <c r="O3460" s="748" t="s">
        <v>1586</v>
      </c>
      <c r="P3460" s="748" t="s">
        <v>1586</v>
      </c>
      <c r="Q3460" s="744"/>
      <c r="W3460" s="744"/>
    </row>
    <row r="3461" spans="6:23" ht="24" customHeight="1">
      <c r="F3461" s="283">
        <v>2.2000000000000002</v>
      </c>
      <c r="G3461" s="283" t="s">
        <v>769</v>
      </c>
      <c r="H3461" s="374" t="s">
        <v>320</v>
      </c>
      <c r="I3461" s="283">
        <f>C13</f>
        <v>534</v>
      </c>
      <c r="J3461" s="744" t="s">
        <v>769</v>
      </c>
      <c r="K3461" s="283">
        <f>(F3461*I3461)</f>
        <v>1174.8</v>
      </c>
      <c r="M3461" s="283">
        <v>10</v>
      </c>
      <c r="N3461" s="283" t="s">
        <v>609</v>
      </c>
      <c r="O3461" s="745" t="s">
        <v>3431</v>
      </c>
      <c r="P3461" s="750">
        <f>I3455</f>
        <v>416</v>
      </c>
      <c r="Q3461" s="744" t="s">
        <v>609</v>
      </c>
      <c r="R3461" s="283">
        <f>P3461*M3461</f>
        <v>4160</v>
      </c>
      <c r="W3461" s="744"/>
    </row>
    <row r="3462" spans="6:23" ht="24" customHeight="1">
      <c r="F3462" s="746">
        <v>20</v>
      </c>
      <c r="G3462" s="283" t="s">
        <v>1645</v>
      </c>
      <c r="H3462" s="374" t="s">
        <v>862</v>
      </c>
      <c r="I3462" s="283">
        <f>AC31</f>
        <v>6040</v>
      </c>
      <c r="J3462" s="744" t="s">
        <v>861</v>
      </c>
      <c r="K3462" s="283">
        <f>(F3462*I3462)/1000</f>
        <v>120.8</v>
      </c>
      <c r="M3462" s="283">
        <v>0.21</v>
      </c>
      <c r="N3462" s="283" t="s">
        <v>869</v>
      </c>
      <c r="O3462" s="374" t="s">
        <v>1876</v>
      </c>
      <c r="P3462" s="750">
        <f t="shared" ref="P3462:P3472" si="326">I3456</f>
        <v>5089.26</v>
      </c>
      <c r="Q3462" s="744" t="s">
        <v>869</v>
      </c>
      <c r="R3462" s="283">
        <f t="shared" ref="R3462:R3472" si="327">P3462*M3462</f>
        <v>1068.74</v>
      </c>
      <c r="W3462" s="744"/>
    </row>
    <row r="3463" spans="6:23" ht="24" customHeight="1">
      <c r="F3463" s="746">
        <v>2</v>
      </c>
      <c r="G3463" s="283" t="s">
        <v>1645</v>
      </c>
      <c r="H3463" s="374" t="s">
        <v>2081</v>
      </c>
      <c r="I3463" s="283">
        <f>I1257</f>
        <v>36.1</v>
      </c>
      <c r="J3463" s="744" t="s">
        <v>1645</v>
      </c>
      <c r="K3463" s="283">
        <f>(F3463*I3463)</f>
        <v>72.2</v>
      </c>
      <c r="O3463" s="374" t="s">
        <v>1877</v>
      </c>
      <c r="P3463" s="750">
        <f t="shared" si="326"/>
        <v>0</v>
      </c>
      <c r="Q3463" s="744"/>
      <c r="R3463" s="283">
        <f t="shared" si="327"/>
        <v>0</v>
      </c>
      <c r="W3463" s="744"/>
    </row>
    <row r="3464" spans="6:23" ht="24" customHeight="1">
      <c r="F3464" s="283">
        <v>1.6</v>
      </c>
      <c r="G3464" s="283" t="s">
        <v>769</v>
      </c>
      <c r="H3464" s="374" t="s">
        <v>1712</v>
      </c>
      <c r="I3464" s="283">
        <f>I3459</f>
        <v>932</v>
      </c>
      <c r="J3464" s="744" t="s">
        <v>769</v>
      </c>
      <c r="K3464" s="283">
        <f>(F3464*I3464)</f>
        <v>1491.2</v>
      </c>
      <c r="M3464" s="283">
        <v>1.1000000000000001</v>
      </c>
      <c r="N3464" s="283" t="s">
        <v>769</v>
      </c>
      <c r="O3464" s="374" t="s">
        <v>2009</v>
      </c>
      <c r="P3464" s="750">
        <f t="shared" si="326"/>
        <v>999</v>
      </c>
      <c r="Q3464" s="744" t="s">
        <v>769</v>
      </c>
      <c r="R3464" s="283">
        <f t="shared" si="327"/>
        <v>1098.9000000000001</v>
      </c>
      <c r="W3464" s="744"/>
    </row>
    <row r="3465" spans="6:23" ht="24" customHeight="1">
      <c r="F3465" s="283">
        <v>0.5</v>
      </c>
      <c r="G3465" s="283" t="s">
        <v>769</v>
      </c>
      <c r="H3465" s="374" t="s">
        <v>1902</v>
      </c>
      <c r="I3465" s="283">
        <f>I3460</f>
        <v>651</v>
      </c>
      <c r="J3465" s="744" t="s">
        <v>769</v>
      </c>
      <c r="K3465" s="283">
        <f>(F3465*I3465)</f>
        <v>325.5</v>
      </c>
      <c r="M3465" s="283">
        <v>1.1000000000000001</v>
      </c>
      <c r="N3465" s="283" t="s">
        <v>769</v>
      </c>
      <c r="O3465" s="374" t="s">
        <v>1712</v>
      </c>
      <c r="P3465" s="750">
        <f t="shared" si="326"/>
        <v>932</v>
      </c>
      <c r="Q3465" s="744" t="s">
        <v>769</v>
      </c>
      <c r="R3465" s="283">
        <f t="shared" si="327"/>
        <v>1025.2</v>
      </c>
      <c r="W3465" s="744"/>
    </row>
    <row r="3466" spans="6:23" ht="24" customHeight="1">
      <c r="F3466" s="283">
        <v>1.1000000000000001</v>
      </c>
      <c r="G3466" s="283" t="s">
        <v>769</v>
      </c>
      <c r="H3466" s="374" t="s">
        <v>320</v>
      </c>
      <c r="I3466" s="283">
        <f>I3461</f>
        <v>534</v>
      </c>
      <c r="J3466" s="744" t="s">
        <v>769</v>
      </c>
      <c r="K3466" s="283">
        <f>(F3466*I3466)</f>
        <v>587.4</v>
      </c>
      <c r="M3466" s="283">
        <v>2.2000000000000002</v>
      </c>
      <c r="N3466" s="283" t="s">
        <v>769</v>
      </c>
      <c r="O3466" s="374" t="s">
        <v>1902</v>
      </c>
      <c r="P3466" s="750">
        <f t="shared" si="326"/>
        <v>651</v>
      </c>
      <c r="Q3466" s="744" t="s">
        <v>769</v>
      </c>
      <c r="R3466" s="283">
        <f t="shared" si="327"/>
        <v>1432.2</v>
      </c>
      <c r="W3466" s="744"/>
    </row>
    <row r="3467" spans="6:23" ht="24" customHeight="1">
      <c r="G3467" s="283" t="s">
        <v>449</v>
      </c>
      <c r="H3467" s="374" t="s">
        <v>450</v>
      </c>
      <c r="I3467" s="283">
        <f>I1263</f>
        <v>0</v>
      </c>
      <c r="J3467" s="744" t="s">
        <v>449</v>
      </c>
      <c r="K3467" s="283">
        <v>0</v>
      </c>
      <c r="M3467" s="283">
        <v>2.2000000000000002</v>
      </c>
      <c r="N3467" s="283" t="s">
        <v>769</v>
      </c>
      <c r="O3467" s="374" t="s">
        <v>320</v>
      </c>
      <c r="P3467" s="750">
        <f t="shared" si="326"/>
        <v>534</v>
      </c>
      <c r="Q3467" s="744" t="s">
        <v>769</v>
      </c>
      <c r="R3467" s="283">
        <f t="shared" si="327"/>
        <v>1174.8</v>
      </c>
      <c r="W3467" s="744"/>
    </row>
    <row r="3468" spans="6:23" ht="24" customHeight="1">
      <c r="J3468" s="744"/>
      <c r="K3468" s="748" t="s">
        <v>1586</v>
      </c>
      <c r="M3468" s="746">
        <v>20</v>
      </c>
      <c r="N3468" s="283" t="s">
        <v>1645</v>
      </c>
      <c r="O3468" s="374" t="s">
        <v>862</v>
      </c>
      <c r="P3468" s="750">
        <f t="shared" si="326"/>
        <v>6040</v>
      </c>
      <c r="Q3468" s="744" t="s">
        <v>861</v>
      </c>
      <c r="R3468" s="283">
        <f>P3468*M3468/1000</f>
        <v>120.8</v>
      </c>
      <c r="W3468" s="744"/>
    </row>
    <row r="3469" spans="6:23" ht="24" customHeight="1">
      <c r="H3469" s="374" t="s">
        <v>441</v>
      </c>
      <c r="J3469" s="744"/>
      <c r="K3469" s="283">
        <f>SUM(K3455:K3467)</f>
        <v>12556.94</v>
      </c>
      <c r="M3469" s="746">
        <v>2</v>
      </c>
      <c r="N3469" s="283" t="s">
        <v>1645</v>
      </c>
      <c r="O3469" s="374" t="s">
        <v>2897</v>
      </c>
      <c r="P3469" s="750">
        <f>I3645</f>
        <v>24.93</v>
      </c>
      <c r="Q3469" s="744" t="s">
        <v>1645</v>
      </c>
      <c r="R3469" s="283">
        <f t="shared" si="327"/>
        <v>49.86</v>
      </c>
      <c r="W3469" s="744"/>
    </row>
    <row r="3470" spans="6:23" ht="24" customHeight="1">
      <c r="J3470" s="744"/>
      <c r="K3470" s="748" t="s">
        <v>1586</v>
      </c>
      <c r="M3470" s="283">
        <v>1.6</v>
      </c>
      <c r="N3470" s="283" t="s">
        <v>769</v>
      </c>
      <c r="O3470" s="374" t="s">
        <v>1712</v>
      </c>
      <c r="P3470" s="750">
        <f t="shared" si="326"/>
        <v>932</v>
      </c>
      <c r="Q3470" s="744" t="s">
        <v>769</v>
      </c>
      <c r="R3470" s="283">
        <f t="shared" si="327"/>
        <v>1491.2</v>
      </c>
      <c r="W3470" s="744"/>
    </row>
    <row r="3471" spans="6:23" ht="24" customHeight="1">
      <c r="H3471" s="374" t="s">
        <v>552</v>
      </c>
      <c r="J3471" s="744"/>
      <c r="K3471" s="751">
        <f>(K3469/10)</f>
        <v>1255.69</v>
      </c>
      <c r="M3471" s="283">
        <v>0.5</v>
      </c>
      <c r="N3471" s="283" t="s">
        <v>769</v>
      </c>
      <c r="O3471" s="374" t="s">
        <v>1902</v>
      </c>
      <c r="P3471" s="750">
        <f t="shared" si="326"/>
        <v>651</v>
      </c>
      <c r="Q3471" s="744" t="s">
        <v>769</v>
      </c>
      <c r="R3471" s="283">
        <f t="shared" si="327"/>
        <v>325.5</v>
      </c>
      <c r="W3471" s="744"/>
    </row>
    <row r="3472" spans="6:23" ht="24" customHeight="1">
      <c r="J3472" s="744"/>
      <c r="K3472" s="748" t="s">
        <v>2055</v>
      </c>
      <c r="M3472" s="283">
        <v>1.1000000000000001</v>
      </c>
      <c r="N3472" s="283" t="s">
        <v>769</v>
      </c>
      <c r="O3472" s="374" t="s">
        <v>320</v>
      </c>
      <c r="P3472" s="750">
        <f t="shared" si="326"/>
        <v>534</v>
      </c>
      <c r="Q3472" s="744" t="s">
        <v>769</v>
      </c>
      <c r="R3472" s="283">
        <f t="shared" si="327"/>
        <v>587.4</v>
      </c>
      <c r="W3472" s="744"/>
    </row>
    <row r="3473" spans="6:23" ht="24" customHeight="1">
      <c r="N3473" s="283" t="s">
        <v>449</v>
      </c>
      <c r="O3473" s="374" t="s">
        <v>450</v>
      </c>
      <c r="P3473" s="283">
        <v>0</v>
      </c>
      <c r="Q3473" s="744" t="s">
        <v>449</v>
      </c>
      <c r="R3473" s="283">
        <v>0</v>
      </c>
      <c r="W3473" s="744"/>
    </row>
    <row r="3474" spans="6:23" ht="24" customHeight="1">
      <c r="Q3474" s="744"/>
      <c r="R3474" s="748" t="s">
        <v>1586</v>
      </c>
      <c r="W3474" s="744"/>
    </row>
    <row r="3475" spans="6:23" ht="24" customHeight="1">
      <c r="O3475" s="374" t="s">
        <v>441</v>
      </c>
      <c r="Q3475" s="744"/>
      <c r="R3475" s="283">
        <f>SUM(R3461:R3474)</f>
        <v>12534.6</v>
      </c>
      <c r="W3475" s="744"/>
    </row>
    <row r="3476" spans="6:23" ht="24" customHeight="1">
      <c r="Q3476" s="744"/>
      <c r="R3476" s="748" t="s">
        <v>1586</v>
      </c>
      <c r="W3476" s="744"/>
    </row>
    <row r="3477" spans="6:23" ht="24" customHeight="1">
      <c r="G3477" s="879">
        <v>90</v>
      </c>
      <c r="H3477" s="880" t="s">
        <v>6139</v>
      </c>
      <c r="O3477" s="374" t="s">
        <v>552</v>
      </c>
      <c r="Q3477" s="744"/>
      <c r="R3477" s="751">
        <f>R3475/10</f>
        <v>1253.46</v>
      </c>
      <c r="W3477" s="744"/>
    </row>
    <row r="3478" spans="6:23" ht="57.75" customHeight="1">
      <c r="F3478" s="783">
        <v>3.8100000000000002E-2</v>
      </c>
      <c r="G3478" s="283" t="s">
        <v>869</v>
      </c>
      <c r="H3478" s="283" t="s">
        <v>2451</v>
      </c>
      <c r="I3478" s="283">
        <f>I3388</f>
        <v>111600</v>
      </c>
      <c r="J3478" s="283">
        <f>J2280</f>
        <v>0</v>
      </c>
      <c r="K3478" s="283">
        <f>F3478*I3478</f>
        <v>4251.96</v>
      </c>
      <c r="Q3478" s="744"/>
      <c r="R3478" s="748" t="s">
        <v>2055</v>
      </c>
      <c r="W3478" s="744"/>
    </row>
    <row r="3479" spans="6:23" ht="24" customHeight="1">
      <c r="F3479" s="746">
        <v>2.4E-2</v>
      </c>
      <c r="G3479" s="283" t="s">
        <v>869</v>
      </c>
      <c r="H3479" s="283" t="s">
        <v>2452</v>
      </c>
      <c r="I3479" s="283">
        <f>I3389</f>
        <v>99400</v>
      </c>
      <c r="J3479" s="283">
        <f>J2281</f>
        <v>0</v>
      </c>
      <c r="K3479" s="283">
        <f t="shared" ref="K3479:K3492" si="328">F3479*I3479</f>
        <v>2385.6</v>
      </c>
      <c r="W3479" s="744"/>
    </row>
    <row r="3480" spans="6:23" ht="24" customHeight="1">
      <c r="F3480" s="283">
        <v>0.01</v>
      </c>
      <c r="G3480" s="283" t="s">
        <v>869</v>
      </c>
      <c r="H3480" s="374" t="s">
        <v>310</v>
      </c>
      <c r="I3480" s="283">
        <f>I2816</f>
        <v>95000</v>
      </c>
      <c r="J3480" s="283">
        <f>J2282</f>
        <v>0</v>
      </c>
      <c r="K3480" s="283">
        <f t="shared" si="328"/>
        <v>950</v>
      </c>
      <c r="W3480" s="744"/>
    </row>
    <row r="3481" spans="6:23" ht="24" customHeight="1">
      <c r="H3481" s="374" t="s">
        <v>446</v>
      </c>
      <c r="W3481" s="744"/>
    </row>
    <row r="3482" spans="6:23" ht="24" customHeight="1">
      <c r="F3482" s="283">
        <v>1.05</v>
      </c>
      <c r="G3482" s="283" t="s">
        <v>609</v>
      </c>
      <c r="H3482" s="283" t="s">
        <v>5892</v>
      </c>
      <c r="I3482" s="283">
        <v>362.5</v>
      </c>
      <c r="J3482" s="374" t="s">
        <v>609</v>
      </c>
      <c r="K3482" s="283">
        <f t="shared" si="328"/>
        <v>380.63</v>
      </c>
      <c r="W3482" s="744"/>
    </row>
    <row r="3483" spans="6:23" ht="24" customHeight="1">
      <c r="F3483" s="283">
        <v>12</v>
      </c>
      <c r="G3483" s="283" t="s">
        <v>359</v>
      </c>
      <c r="H3483" s="283" t="s">
        <v>2453</v>
      </c>
      <c r="I3483" s="283">
        <f>I2538</f>
        <v>70.150000000000006</v>
      </c>
      <c r="J3483" s="374" t="s">
        <v>359</v>
      </c>
      <c r="K3483" s="283">
        <f t="shared" si="328"/>
        <v>841.8</v>
      </c>
      <c r="S3483" s="876" t="s">
        <v>3495</v>
      </c>
      <c r="W3483" s="744"/>
    </row>
    <row r="3484" spans="6:23" ht="24" customHeight="1">
      <c r="F3484" s="283">
        <v>2.85</v>
      </c>
      <c r="G3484" s="283" t="s">
        <v>609</v>
      </c>
      <c r="H3484" s="283" t="s">
        <v>2454</v>
      </c>
      <c r="I3484" s="283">
        <f>D31</f>
        <v>1436</v>
      </c>
      <c r="J3484" s="374" t="s">
        <v>609</v>
      </c>
      <c r="K3484" s="283">
        <f t="shared" si="328"/>
        <v>4092.6</v>
      </c>
      <c r="W3484" s="744"/>
    </row>
    <row r="3485" spans="6:23" ht="24" customHeight="1">
      <c r="F3485" s="283">
        <v>6</v>
      </c>
      <c r="G3485" s="283" t="s">
        <v>1394</v>
      </c>
      <c r="H3485" s="374" t="s">
        <v>1464</v>
      </c>
      <c r="I3485" s="283">
        <f>I2820</f>
        <v>214.1</v>
      </c>
      <c r="J3485" s="374" t="s">
        <v>769</v>
      </c>
      <c r="K3485" s="283">
        <f t="shared" si="328"/>
        <v>1284.5999999999999</v>
      </c>
      <c r="W3485" s="744"/>
    </row>
    <row r="3486" spans="6:23" ht="24" customHeight="1">
      <c r="F3486" s="283">
        <v>1</v>
      </c>
      <c r="G3486" s="283" t="s">
        <v>1394</v>
      </c>
      <c r="H3486" s="283" t="s">
        <v>2455</v>
      </c>
      <c r="I3486" s="283">
        <f>I2822</f>
        <v>836</v>
      </c>
      <c r="J3486" s="374" t="s">
        <v>769</v>
      </c>
      <c r="K3486" s="283">
        <f t="shared" si="328"/>
        <v>836</v>
      </c>
      <c r="W3486" s="744"/>
    </row>
    <row r="3487" spans="6:23" ht="24" customHeight="1">
      <c r="F3487" s="283">
        <v>3</v>
      </c>
      <c r="G3487" s="283" t="s">
        <v>1394</v>
      </c>
      <c r="H3487" s="374" t="s">
        <v>1465</v>
      </c>
      <c r="I3487" s="283">
        <f>I2821</f>
        <v>408</v>
      </c>
      <c r="J3487" s="374" t="s">
        <v>769</v>
      </c>
      <c r="K3487" s="283">
        <f t="shared" si="328"/>
        <v>1224</v>
      </c>
      <c r="W3487" s="744"/>
    </row>
    <row r="3488" spans="6:23" ht="24" customHeight="1">
      <c r="F3488" s="283">
        <v>2</v>
      </c>
      <c r="G3488" s="283" t="s">
        <v>1394</v>
      </c>
      <c r="H3488" s="374" t="s">
        <v>2459</v>
      </c>
      <c r="I3488" s="283">
        <f>I2821</f>
        <v>408</v>
      </c>
      <c r="J3488" s="374" t="s">
        <v>769</v>
      </c>
      <c r="K3488" s="283">
        <f t="shared" si="328"/>
        <v>816</v>
      </c>
      <c r="W3488" s="744"/>
    </row>
    <row r="3489" spans="6:23" ht="24" customHeight="1">
      <c r="F3489" s="283">
        <v>2</v>
      </c>
      <c r="G3489" s="283" t="s">
        <v>1394</v>
      </c>
      <c r="H3489" s="374" t="s">
        <v>1982</v>
      </c>
      <c r="I3489" s="283">
        <f>I2824</f>
        <v>49.55</v>
      </c>
      <c r="J3489" s="374" t="s">
        <v>769</v>
      </c>
      <c r="K3489" s="283">
        <f t="shared" si="328"/>
        <v>99.1</v>
      </c>
      <c r="W3489" s="744"/>
    </row>
    <row r="3490" spans="6:23" ht="24" customHeight="1">
      <c r="F3490" s="283">
        <v>2</v>
      </c>
      <c r="G3490" s="283" t="s">
        <v>1394</v>
      </c>
      <c r="H3490" s="374" t="s">
        <v>1467</v>
      </c>
      <c r="I3490" s="283">
        <f>I2823</f>
        <v>7.3</v>
      </c>
      <c r="J3490" s="374" t="s">
        <v>769</v>
      </c>
      <c r="K3490" s="283">
        <f t="shared" si="328"/>
        <v>14.6</v>
      </c>
      <c r="W3490" s="744"/>
    </row>
    <row r="3491" spans="6:23" ht="24" customHeight="1">
      <c r="F3491" s="283">
        <v>1.05</v>
      </c>
      <c r="G3491" s="283" t="s">
        <v>609</v>
      </c>
      <c r="H3491" s="374" t="s">
        <v>2456</v>
      </c>
      <c r="I3491" s="283">
        <f>'Print Data (2)'!F421</f>
        <v>138.35</v>
      </c>
      <c r="J3491" s="374" t="s">
        <v>609</v>
      </c>
      <c r="K3491" s="283">
        <f t="shared" si="328"/>
        <v>145.27000000000001</v>
      </c>
      <c r="W3491" s="744"/>
    </row>
    <row r="3492" spans="6:23" ht="24" customHeight="1">
      <c r="F3492" s="283">
        <v>3.15</v>
      </c>
      <c r="G3492" s="283" t="s">
        <v>609</v>
      </c>
      <c r="H3492" s="374" t="s">
        <v>2457</v>
      </c>
      <c r="I3492" s="283">
        <f>K1168</f>
        <v>194.22</v>
      </c>
      <c r="J3492" s="374" t="s">
        <v>609</v>
      </c>
      <c r="K3492" s="283">
        <f t="shared" si="328"/>
        <v>611.79</v>
      </c>
      <c r="W3492" s="744"/>
    </row>
    <row r="3493" spans="6:23" ht="24" customHeight="1">
      <c r="H3493" s="374" t="s">
        <v>3538</v>
      </c>
      <c r="I3493" s="998" t="s">
        <v>449</v>
      </c>
      <c r="J3493" s="998"/>
      <c r="K3493" s="283">
        <f>R3200</f>
        <v>284.38</v>
      </c>
      <c r="W3493" s="744"/>
    </row>
    <row r="3494" spans="6:23" ht="24" customHeight="1">
      <c r="K3494" s="748" t="s">
        <v>2055</v>
      </c>
      <c r="W3494" s="744"/>
    </row>
    <row r="3495" spans="6:23" ht="24" customHeight="1">
      <c r="H3495" s="745" t="s">
        <v>2458</v>
      </c>
      <c r="I3495" s="751"/>
      <c r="J3495" s="745"/>
      <c r="K3495" s="751">
        <f>SUM(K3478:K3494)</f>
        <v>18218.330000000002</v>
      </c>
      <c r="W3495" s="744"/>
    </row>
    <row r="3496" spans="6:23" ht="24" customHeight="1">
      <c r="K3496" s="748" t="s">
        <v>2055</v>
      </c>
      <c r="W3496" s="744"/>
    </row>
    <row r="3497" spans="6:23" ht="24" customHeight="1">
      <c r="W3497" s="744"/>
    </row>
    <row r="3498" spans="6:23" ht="24" customHeight="1">
      <c r="J3498" s="744"/>
      <c r="W3498" s="744"/>
    </row>
    <row r="3499" spans="6:23" ht="24" customHeight="1">
      <c r="G3499" s="374" t="s">
        <v>6140</v>
      </c>
      <c r="J3499" s="744"/>
      <c r="W3499" s="744"/>
    </row>
    <row r="3500" spans="6:23" ht="24" customHeight="1">
      <c r="J3500" s="744"/>
      <c r="W3500" s="744"/>
    </row>
    <row r="3501" spans="6:23" ht="24" customHeight="1">
      <c r="F3501" s="783">
        <v>1.8</v>
      </c>
      <c r="G3501" s="283" t="s">
        <v>869</v>
      </c>
      <c r="H3501" s="283" t="s">
        <v>3497</v>
      </c>
      <c r="I3501" s="283">
        <f>((505+583)/2)+Z15</f>
        <v>637.20000000000005</v>
      </c>
      <c r="J3501" s="744" t="s">
        <v>869</v>
      </c>
      <c r="K3501" s="784">
        <f>I3501*F3501</f>
        <v>1146.96</v>
      </c>
      <c r="W3501" s="744"/>
    </row>
    <row r="3502" spans="6:23" ht="24" customHeight="1">
      <c r="J3502" s="744"/>
      <c r="K3502" s="784"/>
      <c r="W3502" s="744"/>
    </row>
    <row r="3503" spans="6:23" ht="24" customHeight="1">
      <c r="F3503" s="783">
        <v>1.2</v>
      </c>
      <c r="G3503" s="283" t="s">
        <v>869</v>
      </c>
      <c r="H3503" s="283" t="s">
        <v>3498</v>
      </c>
      <c r="I3503" s="283">
        <f>((1054+906+1467+1362+1001)/5)+Z15</f>
        <v>1251.2</v>
      </c>
      <c r="J3503" s="744" t="s">
        <v>869</v>
      </c>
      <c r="K3503" s="784">
        <f t="shared" ref="K3503:K3511" si="329">I3503*F3503</f>
        <v>1501.44</v>
      </c>
      <c r="W3503" s="744"/>
    </row>
    <row r="3504" spans="6:23" ht="24" customHeight="1">
      <c r="J3504" s="744"/>
      <c r="K3504" s="784"/>
      <c r="W3504" s="744"/>
    </row>
    <row r="3505" spans="6:24" ht="24" customHeight="1">
      <c r="F3505" s="783">
        <v>0.6</v>
      </c>
      <c r="G3505" s="283" t="s">
        <v>869</v>
      </c>
      <c r="H3505" s="283" t="s">
        <v>3499</v>
      </c>
      <c r="I3505" s="283">
        <f>AC16</f>
        <v>2074.06</v>
      </c>
      <c r="J3505" s="744" t="s">
        <v>869</v>
      </c>
      <c r="K3505" s="784">
        <f t="shared" si="329"/>
        <v>1244.44</v>
      </c>
      <c r="O3505" s="751" t="s">
        <v>3486</v>
      </c>
      <c r="W3505" s="744"/>
    </row>
    <row r="3506" spans="6:24" ht="24" customHeight="1">
      <c r="J3506" s="744"/>
      <c r="K3506" s="784"/>
      <c r="W3506" s="744"/>
    </row>
    <row r="3507" spans="6:24" ht="24" customHeight="1">
      <c r="F3507" s="783">
        <v>3</v>
      </c>
      <c r="G3507" s="283" t="s">
        <v>869</v>
      </c>
      <c r="H3507" s="283" t="s">
        <v>3490</v>
      </c>
      <c r="I3507" s="283">
        <f>R3520</f>
        <v>2072.9699999999998</v>
      </c>
      <c r="J3507" s="744" t="s">
        <v>869</v>
      </c>
      <c r="K3507" s="784">
        <f t="shared" si="329"/>
        <v>6218.91</v>
      </c>
      <c r="W3507" s="744"/>
    </row>
    <row r="3508" spans="6:24" ht="24" customHeight="1">
      <c r="F3508" s="783"/>
      <c r="J3508" s="744"/>
      <c r="K3508" s="784"/>
      <c r="M3508" s="283">
        <f>(1.08/8)</f>
        <v>0.14000000000000001</v>
      </c>
      <c r="N3508" s="283" t="s">
        <v>869</v>
      </c>
      <c r="O3508" s="283" t="s">
        <v>1902</v>
      </c>
      <c r="P3508" s="283">
        <f>P3516</f>
        <v>651</v>
      </c>
      <c r="Q3508" s="283" t="s">
        <v>869</v>
      </c>
      <c r="R3508" s="283">
        <f>P3508*M3508</f>
        <v>91.14</v>
      </c>
      <c r="W3508" s="744"/>
    </row>
    <row r="3509" spans="6:24" ht="24" customHeight="1">
      <c r="F3509" s="783">
        <v>3</v>
      </c>
      <c r="G3509" s="283" t="s">
        <v>869</v>
      </c>
      <c r="H3509" s="283" t="s">
        <v>3496</v>
      </c>
      <c r="I3509" s="283">
        <f>R3522</f>
        <v>36.950000000000003</v>
      </c>
      <c r="J3509" s="744" t="s">
        <v>869</v>
      </c>
      <c r="K3509" s="784">
        <f t="shared" si="329"/>
        <v>110.85</v>
      </c>
      <c r="L3509" s="900"/>
      <c r="W3509" s="744"/>
    </row>
    <row r="3510" spans="6:24" ht="24" customHeight="1">
      <c r="F3510" s="783"/>
      <c r="J3510" s="744"/>
      <c r="K3510" s="784"/>
      <c r="O3510" s="784" t="s">
        <v>3487</v>
      </c>
      <c r="R3510" s="283">
        <f>R3508</f>
        <v>91.14</v>
      </c>
      <c r="W3510" s="744"/>
    </row>
    <row r="3511" spans="6:24" ht="24" customHeight="1">
      <c r="F3511" s="783">
        <v>3</v>
      </c>
      <c r="G3511" s="283" t="s">
        <v>869</v>
      </c>
      <c r="H3511" s="283" t="s">
        <v>3492</v>
      </c>
      <c r="I3511" s="283">
        <f>AE26</f>
        <v>69.8</v>
      </c>
      <c r="J3511" s="744" t="s">
        <v>869</v>
      </c>
      <c r="K3511" s="784">
        <f t="shared" si="329"/>
        <v>209.4</v>
      </c>
      <c r="O3511" s="784" t="s">
        <v>3488</v>
      </c>
      <c r="R3511" s="283">
        <f>R3510/0.75</f>
        <v>121.52</v>
      </c>
      <c r="W3511" s="744"/>
    </row>
    <row r="3512" spans="6:24" ht="24" customHeight="1">
      <c r="J3512" s="744"/>
      <c r="K3512" s="784"/>
      <c r="W3512" s="744"/>
    </row>
    <row r="3513" spans="6:24" ht="24" customHeight="1">
      <c r="H3513" s="283" t="s">
        <v>3494</v>
      </c>
      <c r="J3513" s="744" t="s">
        <v>449</v>
      </c>
      <c r="K3513" s="784">
        <v>1.84</v>
      </c>
      <c r="O3513" s="751" t="s">
        <v>3489</v>
      </c>
      <c r="W3513" s="744"/>
    </row>
    <row r="3514" spans="6:24" ht="24" customHeight="1">
      <c r="J3514" s="744"/>
      <c r="K3514" s="784"/>
      <c r="W3514" s="744"/>
    </row>
    <row r="3515" spans="6:24" ht="24" customHeight="1">
      <c r="H3515" s="784" t="s">
        <v>6141</v>
      </c>
      <c r="J3515" s="744"/>
      <c r="K3515" s="750">
        <f>SUM(K3501:K3514)</f>
        <v>10433.84</v>
      </c>
      <c r="M3515" s="283">
        <v>1.8</v>
      </c>
      <c r="N3515" s="283" t="s">
        <v>1432</v>
      </c>
      <c r="O3515" s="283" t="s">
        <v>3491</v>
      </c>
      <c r="P3515" s="283">
        <f>AE10</f>
        <v>932</v>
      </c>
      <c r="Q3515" s="283" t="s">
        <v>1398</v>
      </c>
      <c r="R3515" s="283">
        <f>P3515*M3515</f>
        <v>1677.6</v>
      </c>
      <c r="W3515" s="744"/>
    </row>
    <row r="3516" spans="6:24" ht="24" customHeight="1">
      <c r="H3516" s="784" t="s">
        <v>3500</v>
      </c>
      <c r="J3516" s="744"/>
      <c r="K3516" s="751">
        <f>K3515/F3507</f>
        <v>3477.95</v>
      </c>
      <c r="M3516" s="283">
        <v>17.7</v>
      </c>
      <c r="N3516" s="283" t="s">
        <v>1432</v>
      </c>
      <c r="O3516" s="283" t="s">
        <v>2774</v>
      </c>
      <c r="P3516" s="283">
        <f>AE11</f>
        <v>651</v>
      </c>
      <c r="Q3516" s="283" t="s">
        <v>1398</v>
      </c>
      <c r="R3516" s="283">
        <f>P3516*M3516</f>
        <v>11522.7</v>
      </c>
      <c r="W3516" s="744"/>
    </row>
    <row r="3517" spans="6:24" ht="24" customHeight="1">
      <c r="J3517" s="744"/>
      <c r="K3517" s="748" t="s">
        <v>2055</v>
      </c>
      <c r="M3517" s="283">
        <v>14.1</v>
      </c>
      <c r="N3517" s="283" t="s">
        <v>1432</v>
      </c>
      <c r="O3517" s="283" t="s">
        <v>2775</v>
      </c>
      <c r="P3517" s="283">
        <f>AE12</f>
        <v>534</v>
      </c>
      <c r="Q3517" s="283" t="s">
        <v>1398</v>
      </c>
      <c r="R3517" s="283">
        <f>P3517*M3517</f>
        <v>7529.4</v>
      </c>
      <c r="S3517" s="754"/>
      <c r="T3517" s="754"/>
      <c r="U3517" s="754" t="s">
        <v>3761</v>
      </c>
      <c r="V3517" s="754"/>
      <c r="W3517" s="756"/>
    </row>
    <row r="3518" spans="6:24" ht="24" customHeight="1">
      <c r="S3518" s="283"/>
      <c r="U3518" s="754" t="s">
        <v>5679</v>
      </c>
      <c r="V3518" s="283">
        <f>1.1*2.325</f>
        <v>2.56</v>
      </c>
      <c r="W3518" s="744"/>
    </row>
    <row r="3519" spans="6:24" ht="24" customHeight="1">
      <c r="O3519" s="784" t="s">
        <v>3493</v>
      </c>
      <c r="R3519" s="283">
        <f>SUM(R3515:R3518)</f>
        <v>20729.7</v>
      </c>
      <c r="S3519" s="754">
        <f>V3518</f>
        <v>2.56</v>
      </c>
      <c r="T3519" s="754" t="s">
        <v>609</v>
      </c>
      <c r="U3519" s="754" t="s">
        <v>3634</v>
      </c>
      <c r="V3519" s="754">
        <f>V3539</f>
        <v>2255</v>
      </c>
      <c r="W3519" s="756" t="s">
        <v>609</v>
      </c>
      <c r="X3519" s="754">
        <f>V3519*S3519</f>
        <v>5772.8</v>
      </c>
    </row>
    <row r="3520" spans="6:24" ht="24" customHeight="1">
      <c r="O3520" s="784" t="s">
        <v>3488</v>
      </c>
      <c r="R3520" s="283">
        <f>R3519/10</f>
        <v>2072.9699999999998</v>
      </c>
      <c r="S3520" s="754">
        <f>V3518</f>
        <v>2.56</v>
      </c>
      <c r="T3520" s="754" t="s">
        <v>609</v>
      </c>
      <c r="U3520" s="754" t="s">
        <v>3635</v>
      </c>
      <c r="V3520" s="754">
        <f t="shared" ref="V3520:V3528" si="330">V3540</f>
        <v>0</v>
      </c>
      <c r="W3520" s="756" t="s">
        <v>609</v>
      </c>
      <c r="X3520" s="754">
        <f t="shared" ref="X3520:X3527" si="331">V3520*S3520</f>
        <v>0</v>
      </c>
    </row>
    <row r="3521" spans="6:24" ht="24" customHeight="1">
      <c r="F3521" s="754"/>
      <c r="G3521" s="754"/>
      <c r="H3521" s="754" t="s">
        <v>3646</v>
      </c>
      <c r="I3521" s="754"/>
      <c r="J3521" s="752"/>
      <c r="O3521" s="784"/>
      <c r="S3521" s="754">
        <v>2</v>
      </c>
      <c r="T3521" s="754" t="s">
        <v>769</v>
      </c>
      <c r="U3521" s="754" t="s">
        <v>3636</v>
      </c>
      <c r="V3521" s="754">
        <f t="shared" si="330"/>
        <v>57.65</v>
      </c>
      <c r="W3521" s="756" t="s">
        <v>769</v>
      </c>
      <c r="X3521" s="754">
        <f t="shared" si="331"/>
        <v>115.3</v>
      </c>
    </row>
    <row r="3522" spans="6:24" ht="24" customHeight="1">
      <c r="H3522" s="805" t="s">
        <v>3647</v>
      </c>
      <c r="I3522" s="754">
        <f>1.1*2.325</f>
        <v>2.56</v>
      </c>
      <c r="O3522" s="751" t="s">
        <v>3880</v>
      </c>
      <c r="R3522" s="751">
        <f>AF68</f>
        <v>36.950000000000003</v>
      </c>
      <c r="S3522" s="754">
        <v>4</v>
      </c>
      <c r="T3522" s="754" t="s">
        <v>769</v>
      </c>
      <c r="U3522" s="754" t="s">
        <v>3637</v>
      </c>
      <c r="V3522" s="754">
        <f t="shared" si="330"/>
        <v>89.6</v>
      </c>
      <c r="W3522" s="756" t="s">
        <v>769</v>
      </c>
      <c r="X3522" s="754">
        <f t="shared" si="331"/>
        <v>358.4</v>
      </c>
    </row>
    <row r="3523" spans="6:24" ht="24" customHeight="1">
      <c r="F3523" s="754">
        <f>I3522</f>
        <v>2.56</v>
      </c>
      <c r="G3523" s="754" t="s">
        <v>609</v>
      </c>
      <c r="H3523" s="754" t="s">
        <v>5352</v>
      </c>
      <c r="I3523" s="754">
        <v>2255</v>
      </c>
      <c r="J3523" s="754" t="s">
        <v>609</v>
      </c>
      <c r="K3523" s="754">
        <f>I3523*F3523</f>
        <v>5772.8</v>
      </c>
      <c r="S3523" s="754">
        <v>2</v>
      </c>
      <c r="T3523" s="754" t="s">
        <v>769</v>
      </c>
      <c r="U3523" s="754" t="s">
        <v>3638</v>
      </c>
      <c r="V3523" s="754">
        <f t="shared" si="330"/>
        <v>64.8</v>
      </c>
      <c r="W3523" s="756" t="s">
        <v>769</v>
      </c>
      <c r="X3523" s="754">
        <f t="shared" si="331"/>
        <v>129.6</v>
      </c>
    </row>
    <row r="3524" spans="6:24" ht="24" customHeight="1">
      <c r="F3524" s="754">
        <f>F3523</f>
        <v>2.56</v>
      </c>
      <c r="G3524" s="754" t="s">
        <v>609</v>
      </c>
      <c r="H3524" s="754" t="s">
        <v>4599</v>
      </c>
      <c r="I3524" s="754">
        <f>AE54</f>
        <v>0</v>
      </c>
      <c r="J3524" s="754" t="s">
        <v>609</v>
      </c>
      <c r="K3524" s="754">
        <f t="shared" ref="K3524:K3531" si="332">I3524*F3524</f>
        <v>0</v>
      </c>
      <c r="S3524" s="754">
        <v>1</v>
      </c>
      <c r="T3524" s="754" t="s">
        <v>769</v>
      </c>
      <c r="U3524" s="754" t="s">
        <v>2455</v>
      </c>
      <c r="V3524" s="754">
        <f t="shared" si="330"/>
        <v>181</v>
      </c>
      <c r="W3524" s="756" t="s">
        <v>769</v>
      </c>
      <c r="X3524" s="754">
        <f t="shared" si="331"/>
        <v>181</v>
      </c>
    </row>
    <row r="3525" spans="6:24" ht="24" customHeight="1">
      <c r="F3525" s="754">
        <v>4</v>
      </c>
      <c r="G3525" s="754" t="s">
        <v>769</v>
      </c>
      <c r="H3525" s="754" t="s">
        <v>3871</v>
      </c>
      <c r="I3525" s="754">
        <f>P3229</f>
        <v>57.65</v>
      </c>
      <c r="J3525" s="754" t="s">
        <v>769</v>
      </c>
      <c r="K3525" s="754">
        <f t="shared" si="332"/>
        <v>230.6</v>
      </c>
      <c r="M3525" s="754"/>
      <c r="N3525" s="754"/>
      <c r="O3525" s="753" t="s">
        <v>3751</v>
      </c>
      <c r="P3525" s="754"/>
      <c r="Q3525" s="752"/>
      <c r="S3525" s="754">
        <v>92</v>
      </c>
      <c r="T3525" s="754" t="s">
        <v>769</v>
      </c>
      <c r="U3525" s="754" t="s">
        <v>3639</v>
      </c>
      <c r="V3525" s="754">
        <f t="shared" si="330"/>
        <v>2.41</v>
      </c>
      <c r="W3525" s="756" t="s">
        <v>769</v>
      </c>
      <c r="X3525" s="754">
        <f t="shared" si="331"/>
        <v>221.72</v>
      </c>
    </row>
    <row r="3526" spans="6:24" ht="24" customHeight="1">
      <c r="F3526" s="754">
        <v>8</v>
      </c>
      <c r="G3526" s="754" t="s">
        <v>769</v>
      </c>
      <c r="H3526" s="754" t="s">
        <v>3872</v>
      </c>
      <c r="I3526" s="754">
        <f>P3230</f>
        <v>89.6</v>
      </c>
      <c r="J3526" s="754" t="s">
        <v>769</v>
      </c>
      <c r="K3526" s="754">
        <f t="shared" si="332"/>
        <v>716.8</v>
      </c>
      <c r="O3526" s="849" t="s">
        <v>3752</v>
      </c>
      <c r="P3526" s="849">
        <f>1.4*2.325</f>
        <v>3.26</v>
      </c>
      <c r="Q3526" s="374"/>
      <c r="S3526" s="754">
        <v>1</v>
      </c>
      <c r="T3526" s="754" t="s">
        <v>769</v>
      </c>
      <c r="U3526" s="754" t="s">
        <v>3640</v>
      </c>
      <c r="V3526" s="754">
        <f t="shared" si="330"/>
        <v>23.1</v>
      </c>
      <c r="W3526" s="756" t="s">
        <v>769</v>
      </c>
      <c r="X3526" s="754">
        <f t="shared" si="331"/>
        <v>23.1</v>
      </c>
    </row>
    <row r="3527" spans="6:24" ht="24" customHeight="1">
      <c r="F3527" s="754">
        <v>4</v>
      </c>
      <c r="G3527" s="754" t="s">
        <v>769</v>
      </c>
      <c r="H3527" s="754" t="s">
        <v>3873</v>
      </c>
      <c r="I3527" s="754">
        <f>C285</f>
        <v>64.8</v>
      </c>
      <c r="J3527" s="754" t="s">
        <v>769</v>
      </c>
      <c r="K3527" s="754">
        <f t="shared" si="332"/>
        <v>259.2</v>
      </c>
      <c r="M3527" s="754">
        <f>P3526</f>
        <v>3.26</v>
      </c>
      <c r="N3527" s="754" t="s">
        <v>609</v>
      </c>
      <c r="O3527" s="754" t="s">
        <v>4326</v>
      </c>
      <c r="P3527" s="754">
        <f>I3523</f>
        <v>2255</v>
      </c>
      <c r="Q3527" s="754" t="s">
        <v>609</v>
      </c>
      <c r="R3527" s="754">
        <f t="shared" ref="R3527:R3535" si="333">P3527*M3527</f>
        <v>7351.3</v>
      </c>
      <c r="S3527" s="754">
        <v>1</v>
      </c>
      <c r="T3527" s="754" t="s">
        <v>769</v>
      </c>
      <c r="U3527" s="754" t="s">
        <v>3641</v>
      </c>
      <c r="V3527" s="754">
        <f t="shared" si="330"/>
        <v>49.55</v>
      </c>
      <c r="W3527" s="756" t="s">
        <v>769</v>
      </c>
      <c r="X3527" s="754">
        <f t="shared" si="331"/>
        <v>49.55</v>
      </c>
    </row>
    <row r="3528" spans="6:24" ht="24" customHeight="1">
      <c r="F3528" s="754">
        <v>1</v>
      </c>
      <c r="G3528" s="754" t="s">
        <v>769</v>
      </c>
      <c r="H3528" s="754" t="s">
        <v>3874</v>
      </c>
      <c r="I3528" s="754">
        <f>C287</f>
        <v>181</v>
      </c>
      <c r="J3528" s="754" t="s">
        <v>769</v>
      </c>
      <c r="K3528" s="754">
        <f t="shared" si="332"/>
        <v>181</v>
      </c>
      <c r="M3528" s="754">
        <f>M3527</f>
        <v>3.26</v>
      </c>
      <c r="N3528" s="754" t="s">
        <v>609</v>
      </c>
      <c r="O3528" s="754" t="s">
        <v>3881</v>
      </c>
      <c r="P3528" s="754">
        <f t="shared" ref="P3528:P3535" si="334">I3524</f>
        <v>0</v>
      </c>
      <c r="Q3528" s="754" t="s">
        <v>609</v>
      </c>
      <c r="R3528" s="754">
        <f t="shared" si="333"/>
        <v>0</v>
      </c>
      <c r="S3528" s="834">
        <v>0.39</v>
      </c>
      <c r="T3528" s="754" t="s">
        <v>609</v>
      </c>
      <c r="U3528" s="754" t="s">
        <v>3760</v>
      </c>
      <c r="V3528" s="754">
        <f t="shared" si="330"/>
        <v>233.74</v>
      </c>
      <c r="W3528" s="756" t="s">
        <v>609</v>
      </c>
      <c r="X3528" s="754"/>
    </row>
    <row r="3529" spans="6:24" ht="24" customHeight="1">
      <c r="F3529" s="754">
        <v>118</v>
      </c>
      <c r="G3529" s="754" t="s">
        <v>769</v>
      </c>
      <c r="H3529" s="754" t="s">
        <v>3639</v>
      </c>
      <c r="I3529" s="754">
        <f>P3449</f>
        <v>2.41</v>
      </c>
      <c r="J3529" s="754" t="s">
        <v>769</v>
      </c>
      <c r="K3529" s="754">
        <f t="shared" si="332"/>
        <v>284.38</v>
      </c>
      <c r="M3529" s="754">
        <v>4</v>
      </c>
      <c r="N3529" s="754" t="s">
        <v>769</v>
      </c>
      <c r="O3529" s="754" t="s">
        <v>3636</v>
      </c>
      <c r="P3529" s="754">
        <f t="shared" si="334"/>
        <v>57.65</v>
      </c>
      <c r="Q3529" s="754" t="s">
        <v>769</v>
      </c>
      <c r="R3529" s="754">
        <f t="shared" si="333"/>
        <v>230.6</v>
      </c>
      <c r="S3529" s="754"/>
      <c r="T3529" s="754"/>
      <c r="U3529" s="754" t="s">
        <v>3762</v>
      </c>
      <c r="V3529" s="754"/>
      <c r="W3529" s="756"/>
      <c r="X3529" s="754">
        <f>SUM(X3519:X3528)</f>
        <v>6851.47</v>
      </c>
    </row>
    <row r="3530" spans="6:24" ht="24" customHeight="1">
      <c r="F3530" s="754">
        <v>2</v>
      </c>
      <c r="G3530" s="754" t="s">
        <v>769</v>
      </c>
      <c r="H3530" s="754" t="s">
        <v>3875</v>
      </c>
      <c r="I3530" s="754">
        <f>P3198</f>
        <v>23.1</v>
      </c>
      <c r="J3530" s="754" t="s">
        <v>769</v>
      </c>
      <c r="K3530" s="754">
        <f t="shared" si="332"/>
        <v>46.2</v>
      </c>
      <c r="M3530" s="754">
        <v>10</v>
      </c>
      <c r="N3530" s="754" t="s">
        <v>769</v>
      </c>
      <c r="O3530" s="754" t="s">
        <v>3637</v>
      </c>
      <c r="P3530" s="754">
        <f t="shared" si="334"/>
        <v>89.6</v>
      </c>
      <c r="Q3530" s="754" t="s">
        <v>769</v>
      </c>
      <c r="R3530" s="754">
        <f t="shared" si="333"/>
        <v>896</v>
      </c>
      <c r="S3530" s="754"/>
      <c r="T3530" s="754"/>
      <c r="U3530" s="754" t="s">
        <v>3225</v>
      </c>
      <c r="V3530" s="754"/>
      <c r="W3530" s="756"/>
      <c r="X3530" s="754">
        <f>X3529/S3520</f>
        <v>2676.36</v>
      </c>
    </row>
    <row r="3531" spans="6:24" ht="24" customHeight="1">
      <c r="F3531" s="754">
        <v>2</v>
      </c>
      <c r="G3531" s="754" t="s">
        <v>769</v>
      </c>
      <c r="H3531" s="754" t="s">
        <v>3641</v>
      </c>
      <c r="I3531" s="754">
        <f>P3404</f>
        <v>49.55</v>
      </c>
      <c r="J3531" s="754" t="s">
        <v>769</v>
      </c>
      <c r="K3531" s="754">
        <f t="shared" si="332"/>
        <v>99.1</v>
      </c>
      <c r="M3531" s="754">
        <v>3</v>
      </c>
      <c r="N3531" s="754" t="s">
        <v>769</v>
      </c>
      <c r="O3531" s="754" t="s">
        <v>3638</v>
      </c>
      <c r="P3531" s="754">
        <f t="shared" si="334"/>
        <v>64.8</v>
      </c>
      <c r="Q3531" s="754" t="s">
        <v>769</v>
      </c>
      <c r="R3531" s="754">
        <f t="shared" si="333"/>
        <v>194.4</v>
      </c>
      <c r="W3531" s="744"/>
    </row>
    <row r="3532" spans="6:24" ht="24" customHeight="1">
      <c r="F3532" s="834">
        <v>0.41099999999999998</v>
      </c>
      <c r="G3532" s="754" t="s">
        <v>609</v>
      </c>
      <c r="H3532" s="754" t="s">
        <v>3642</v>
      </c>
      <c r="I3532" s="754">
        <f>I1137</f>
        <v>194.22</v>
      </c>
      <c r="J3532" s="754" t="s">
        <v>609</v>
      </c>
      <c r="K3532" s="754"/>
      <c r="M3532" s="754">
        <v>1</v>
      </c>
      <c r="N3532" s="754" t="s">
        <v>769</v>
      </c>
      <c r="O3532" s="754" t="s">
        <v>2455</v>
      </c>
      <c r="P3532" s="754">
        <f t="shared" si="334"/>
        <v>181</v>
      </c>
      <c r="Q3532" s="754" t="s">
        <v>769</v>
      </c>
      <c r="R3532" s="754">
        <f t="shared" si="333"/>
        <v>181</v>
      </c>
      <c r="W3532" s="744"/>
    </row>
    <row r="3533" spans="6:24" ht="24" customHeight="1">
      <c r="F3533" s="754"/>
      <c r="G3533" s="754"/>
      <c r="H3533" s="754" t="s">
        <v>3756</v>
      </c>
      <c r="I3533" s="754"/>
      <c r="J3533" s="752"/>
      <c r="K3533" s="754">
        <f>SUM(K3523:K3532)</f>
        <v>7590.08</v>
      </c>
      <c r="M3533" s="754">
        <v>162</v>
      </c>
      <c r="N3533" s="754" t="s">
        <v>769</v>
      </c>
      <c r="O3533" s="754" t="s">
        <v>3639</v>
      </c>
      <c r="P3533" s="754">
        <f t="shared" si="334"/>
        <v>2.41</v>
      </c>
      <c r="Q3533" s="754" t="s">
        <v>769</v>
      </c>
      <c r="R3533" s="754">
        <f t="shared" si="333"/>
        <v>390.42</v>
      </c>
      <c r="W3533" s="744"/>
    </row>
    <row r="3534" spans="6:24" ht="24" customHeight="1">
      <c r="F3534" s="754"/>
      <c r="G3534" s="754"/>
      <c r="H3534" s="754" t="s">
        <v>3225</v>
      </c>
      <c r="I3534" s="754"/>
      <c r="J3534" s="752"/>
      <c r="K3534" s="754">
        <f>K3533/F3524</f>
        <v>2964.88</v>
      </c>
      <c r="M3534" s="754">
        <v>2</v>
      </c>
      <c r="N3534" s="754" t="s">
        <v>769</v>
      </c>
      <c r="O3534" s="754" t="s">
        <v>3640</v>
      </c>
      <c r="P3534" s="754">
        <f t="shared" si="334"/>
        <v>23.1</v>
      </c>
      <c r="Q3534" s="754" t="s">
        <v>769</v>
      </c>
      <c r="R3534" s="754">
        <f t="shared" si="333"/>
        <v>46.2</v>
      </c>
      <c r="W3534" s="744"/>
    </row>
    <row r="3535" spans="6:24" ht="24" customHeight="1">
      <c r="H3535" s="754"/>
      <c r="K3535" s="754"/>
      <c r="M3535" s="754">
        <v>2</v>
      </c>
      <c r="N3535" s="754" t="s">
        <v>769</v>
      </c>
      <c r="O3535" s="754" t="s">
        <v>3641</v>
      </c>
      <c r="P3535" s="754">
        <f t="shared" si="334"/>
        <v>49.55</v>
      </c>
      <c r="Q3535" s="754" t="s">
        <v>769</v>
      </c>
      <c r="R3535" s="754">
        <f t="shared" si="333"/>
        <v>99.1</v>
      </c>
      <c r="W3535" s="744"/>
    </row>
    <row r="3536" spans="6:24" ht="24" customHeight="1">
      <c r="M3536" s="834">
        <v>0</v>
      </c>
      <c r="N3536" s="754" t="s">
        <v>609</v>
      </c>
      <c r="O3536" s="754" t="s">
        <v>3642</v>
      </c>
      <c r="P3536" s="754">
        <f>I3532</f>
        <v>194.22</v>
      </c>
      <c r="Q3536" s="754" t="s">
        <v>609</v>
      </c>
      <c r="R3536" s="754">
        <f>P3536*M3536</f>
        <v>0</v>
      </c>
      <c r="W3536" s="744"/>
    </row>
    <row r="3537" spans="6:33" ht="24" customHeight="1">
      <c r="F3537" s="754"/>
      <c r="G3537" s="754"/>
      <c r="H3537" s="754" t="s">
        <v>3644</v>
      </c>
      <c r="I3537" s="754"/>
      <c r="J3537" s="752"/>
      <c r="M3537" s="754"/>
      <c r="N3537" s="754"/>
      <c r="O3537" s="754" t="s">
        <v>3753</v>
      </c>
      <c r="P3537" s="754"/>
      <c r="Q3537" s="752"/>
      <c r="R3537" s="754">
        <f>SUM(R3527:R3536)</f>
        <v>9389.02</v>
      </c>
      <c r="S3537" s="754"/>
      <c r="T3537" s="754"/>
      <c r="U3537" s="754" t="s">
        <v>3761</v>
      </c>
      <c r="V3537" s="754"/>
      <c r="W3537" s="756"/>
      <c r="AB3537" s="754"/>
      <c r="AC3537" s="754"/>
      <c r="AD3537" s="754" t="s">
        <v>4348</v>
      </c>
      <c r="AE3537" s="754"/>
      <c r="AF3537" s="752"/>
    </row>
    <row r="3538" spans="6:33" ht="24" customHeight="1">
      <c r="H3538" s="754" t="s">
        <v>3768</v>
      </c>
      <c r="I3538" s="283">
        <f>0.9*2.025</f>
        <v>1.82</v>
      </c>
      <c r="M3538" s="754"/>
      <c r="N3538" s="754"/>
      <c r="O3538" s="754" t="s">
        <v>3225</v>
      </c>
      <c r="P3538" s="754"/>
      <c r="Q3538" s="752"/>
      <c r="R3538" s="754">
        <f>R3537/M3528</f>
        <v>2880.07</v>
      </c>
      <c r="S3538" s="283"/>
      <c r="U3538" s="754" t="s">
        <v>3769</v>
      </c>
      <c r="V3538" s="283">
        <f>0.9*2.325</f>
        <v>2.09</v>
      </c>
      <c r="W3538" s="744"/>
      <c r="AD3538" s="754" t="s">
        <v>4637</v>
      </c>
      <c r="AE3538" s="283">
        <f>0.8*2.025</f>
        <v>1.62</v>
      </c>
      <c r="AF3538" s="374"/>
    </row>
    <row r="3539" spans="6:33" ht="24" customHeight="1">
      <c r="F3539" s="754">
        <f>I3538</f>
        <v>1.82</v>
      </c>
      <c r="G3539" s="754" t="s">
        <v>609</v>
      </c>
      <c r="H3539" s="754" t="s">
        <v>3634</v>
      </c>
      <c r="I3539" s="754">
        <f>I3523</f>
        <v>2255</v>
      </c>
      <c r="J3539" s="754" t="s">
        <v>609</v>
      </c>
      <c r="K3539" s="754">
        <f>I3539*F3539</f>
        <v>4104.1000000000004</v>
      </c>
      <c r="Q3539" s="754"/>
      <c r="R3539" s="753"/>
      <c r="S3539" s="754">
        <f>V3538</f>
        <v>2.09</v>
      </c>
      <c r="T3539" s="754" t="s">
        <v>609</v>
      </c>
      <c r="U3539" s="754" t="s">
        <v>3634</v>
      </c>
      <c r="V3539" s="754">
        <f>I3539</f>
        <v>2255</v>
      </c>
      <c r="W3539" s="756" t="s">
        <v>609</v>
      </c>
      <c r="X3539" s="754">
        <f>V3539*S3539</f>
        <v>4712.95</v>
      </c>
      <c r="AB3539" s="754">
        <f>AE3538</f>
        <v>1.62</v>
      </c>
      <c r="AC3539" s="754" t="s">
        <v>609</v>
      </c>
      <c r="AD3539" s="754" t="s">
        <v>4350</v>
      </c>
      <c r="AE3539" s="754">
        <f>I3523</f>
        <v>2255</v>
      </c>
      <c r="AF3539" s="754" t="s">
        <v>609</v>
      </c>
      <c r="AG3539" s="754">
        <f>AE3539*AB3539</f>
        <v>3653.1</v>
      </c>
    </row>
    <row r="3540" spans="6:33" ht="24" customHeight="1">
      <c r="F3540" s="754">
        <f>I3538</f>
        <v>1.82</v>
      </c>
      <c r="G3540" s="754" t="s">
        <v>609</v>
      </c>
      <c r="H3540" s="754" t="s">
        <v>4600</v>
      </c>
      <c r="I3540" s="754">
        <f>AE53</f>
        <v>0</v>
      </c>
      <c r="J3540" s="754" t="s">
        <v>609</v>
      </c>
      <c r="K3540" s="754">
        <f t="shared" ref="K3540:K3547" si="335">I3540*F3540</f>
        <v>0</v>
      </c>
      <c r="S3540" s="754">
        <f>V3538</f>
        <v>2.09</v>
      </c>
      <c r="T3540" s="754" t="s">
        <v>609</v>
      </c>
      <c r="U3540" s="754" t="s">
        <v>3635</v>
      </c>
      <c r="V3540" s="754">
        <f t="shared" ref="V3540:V3548" si="336">I3540</f>
        <v>0</v>
      </c>
      <c r="W3540" s="756" t="s">
        <v>609</v>
      </c>
      <c r="X3540" s="754">
        <f t="shared" ref="X3540:X3547" si="337">V3540*S3540</f>
        <v>0</v>
      </c>
      <c r="AB3540" s="754">
        <f>AE3538</f>
        <v>1.62</v>
      </c>
      <c r="AC3540" s="754" t="s">
        <v>609</v>
      </c>
      <c r="AD3540" s="754" t="s">
        <v>3870</v>
      </c>
      <c r="AE3540" s="754">
        <f>I3540</f>
        <v>0</v>
      </c>
      <c r="AF3540" s="754" t="s">
        <v>609</v>
      </c>
      <c r="AG3540" s="754">
        <f t="shared" ref="AG3540:AG3547" si="338">AE3540*AB3540</f>
        <v>0</v>
      </c>
    </row>
    <row r="3541" spans="6:33" ht="24" customHeight="1">
      <c r="F3541" s="754">
        <v>2</v>
      </c>
      <c r="G3541" s="754" t="s">
        <v>769</v>
      </c>
      <c r="H3541" s="754" t="s">
        <v>3636</v>
      </c>
      <c r="I3541" s="754">
        <f t="shared" ref="I3541:I3547" si="339">I3525</f>
        <v>57.65</v>
      </c>
      <c r="J3541" s="754" t="s">
        <v>769</v>
      </c>
      <c r="K3541" s="754">
        <f t="shared" si="335"/>
        <v>115.3</v>
      </c>
      <c r="M3541" s="754"/>
      <c r="N3541" s="754"/>
      <c r="O3541" s="754" t="s">
        <v>3754</v>
      </c>
      <c r="P3541" s="754"/>
      <c r="Q3541" s="752"/>
      <c r="S3541" s="754">
        <v>2</v>
      </c>
      <c r="T3541" s="754" t="s">
        <v>769</v>
      </c>
      <c r="U3541" s="754" t="s">
        <v>3636</v>
      </c>
      <c r="V3541" s="754">
        <f t="shared" si="336"/>
        <v>57.65</v>
      </c>
      <c r="W3541" s="756" t="s">
        <v>769</v>
      </c>
      <c r="X3541" s="754">
        <f t="shared" si="337"/>
        <v>115.3</v>
      </c>
      <c r="AB3541" s="754">
        <v>2</v>
      </c>
      <c r="AC3541" s="754" t="s">
        <v>769</v>
      </c>
      <c r="AD3541" s="754" t="s">
        <v>3636</v>
      </c>
      <c r="AE3541" s="754">
        <f t="shared" ref="AE3541:AE3548" si="340">I3541</f>
        <v>57.65</v>
      </c>
      <c r="AF3541" s="754" t="s">
        <v>769</v>
      </c>
      <c r="AG3541" s="754">
        <f t="shared" si="338"/>
        <v>115.3</v>
      </c>
    </row>
    <row r="3542" spans="6:33" ht="24" customHeight="1">
      <c r="F3542" s="754">
        <v>3</v>
      </c>
      <c r="G3542" s="754" t="s">
        <v>769</v>
      </c>
      <c r="H3542" s="754" t="s">
        <v>3637</v>
      </c>
      <c r="I3542" s="754">
        <f t="shared" si="339"/>
        <v>89.6</v>
      </c>
      <c r="J3542" s="754" t="s">
        <v>769</v>
      </c>
      <c r="K3542" s="754">
        <f t="shared" si="335"/>
        <v>268.8</v>
      </c>
      <c r="O3542" s="849" t="s">
        <v>3755</v>
      </c>
      <c r="P3542" s="849">
        <f>1.1*2.325</f>
        <v>2.56</v>
      </c>
      <c r="Q3542" s="374"/>
      <c r="S3542" s="754">
        <v>4</v>
      </c>
      <c r="T3542" s="754" t="s">
        <v>769</v>
      </c>
      <c r="U3542" s="754" t="s">
        <v>3637</v>
      </c>
      <c r="V3542" s="754">
        <f t="shared" si="336"/>
        <v>89.6</v>
      </c>
      <c r="W3542" s="756" t="s">
        <v>769</v>
      </c>
      <c r="X3542" s="754">
        <f t="shared" si="337"/>
        <v>358.4</v>
      </c>
      <c r="AB3542" s="754">
        <v>3</v>
      </c>
      <c r="AC3542" s="754" t="s">
        <v>769</v>
      </c>
      <c r="AD3542" s="754" t="s">
        <v>3637</v>
      </c>
      <c r="AE3542" s="754">
        <f t="shared" si="340"/>
        <v>89.6</v>
      </c>
      <c r="AF3542" s="754" t="s">
        <v>769</v>
      </c>
      <c r="AG3542" s="754">
        <f t="shared" si="338"/>
        <v>268.8</v>
      </c>
    </row>
    <row r="3543" spans="6:33" ht="24" customHeight="1">
      <c r="F3543" s="754">
        <v>2</v>
      </c>
      <c r="G3543" s="754" t="s">
        <v>769</v>
      </c>
      <c r="H3543" s="754" t="s">
        <v>3638</v>
      </c>
      <c r="I3543" s="754">
        <f t="shared" si="339"/>
        <v>64.8</v>
      </c>
      <c r="J3543" s="754" t="s">
        <v>769</v>
      </c>
      <c r="K3543" s="754">
        <f t="shared" si="335"/>
        <v>129.6</v>
      </c>
      <c r="M3543" s="754">
        <f>P3542</f>
        <v>2.56</v>
      </c>
      <c r="N3543" s="754" t="s">
        <v>609</v>
      </c>
      <c r="O3543" s="754" t="s">
        <v>3634</v>
      </c>
      <c r="P3543" s="754">
        <f>I3539</f>
        <v>2255</v>
      </c>
      <c r="Q3543" s="754" t="s">
        <v>609</v>
      </c>
      <c r="R3543" s="754">
        <f>P3543*M3543</f>
        <v>5772.8</v>
      </c>
      <c r="S3543" s="754">
        <v>2</v>
      </c>
      <c r="T3543" s="754" t="s">
        <v>769</v>
      </c>
      <c r="U3543" s="754" t="s">
        <v>3638</v>
      </c>
      <c r="V3543" s="754">
        <f t="shared" si="336"/>
        <v>64.8</v>
      </c>
      <c r="W3543" s="756" t="s">
        <v>769</v>
      </c>
      <c r="X3543" s="754">
        <f t="shared" si="337"/>
        <v>129.6</v>
      </c>
      <c r="AB3543" s="754">
        <v>2</v>
      </c>
      <c r="AC3543" s="754" t="s">
        <v>769</v>
      </c>
      <c r="AD3543" s="754" t="s">
        <v>3638</v>
      </c>
      <c r="AE3543" s="754">
        <f t="shared" si="340"/>
        <v>64.8</v>
      </c>
      <c r="AF3543" s="754" t="s">
        <v>769</v>
      </c>
      <c r="AG3543" s="754">
        <f t="shared" si="338"/>
        <v>129.6</v>
      </c>
    </row>
    <row r="3544" spans="6:33" ht="24" customHeight="1">
      <c r="F3544" s="754">
        <v>1</v>
      </c>
      <c r="G3544" s="754" t="s">
        <v>769</v>
      </c>
      <c r="H3544" s="754" t="s">
        <v>2455</v>
      </c>
      <c r="I3544" s="754">
        <f t="shared" si="339"/>
        <v>181</v>
      </c>
      <c r="J3544" s="754" t="s">
        <v>769</v>
      </c>
      <c r="K3544" s="754">
        <f t="shared" si="335"/>
        <v>181</v>
      </c>
      <c r="M3544" s="754">
        <f>P3542</f>
        <v>2.56</v>
      </c>
      <c r="N3544" s="754" t="s">
        <v>609</v>
      </c>
      <c r="O3544" s="754" t="s">
        <v>4270</v>
      </c>
      <c r="P3544" s="754">
        <f t="shared" ref="P3544:P3552" si="341">I3540</f>
        <v>0</v>
      </c>
      <c r="Q3544" s="754" t="s">
        <v>609</v>
      </c>
      <c r="R3544" s="754">
        <f t="shared" ref="R3544:R3552" si="342">P3544*M3544</f>
        <v>0</v>
      </c>
      <c r="S3544" s="754">
        <v>1</v>
      </c>
      <c r="T3544" s="754" t="s">
        <v>769</v>
      </c>
      <c r="U3544" s="754" t="s">
        <v>2455</v>
      </c>
      <c r="V3544" s="754">
        <f t="shared" si="336"/>
        <v>181</v>
      </c>
      <c r="W3544" s="756" t="s">
        <v>769</v>
      </c>
      <c r="X3544" s="754">
        <f t="shared" si="337"/>
        <v>181</v>
      </c>
      <c r="AB3544" s="754">
        <v>1</v>
      </c>
      <c r="AC3544" s="754" t="s">
        <v>769</v>
      </c>
      <c r="AD3544" s="754" t="s">
        <v>2455</v>
      </c>
      <c r="AE3544" s="754">
        <f t="shared" si="340"/>
        <v>181</v>
      </c>
      <c r="AF3544" s="754" t="s">
        <v>769</v>
      </c>
      <c r="AG3544" s="754">
        <f t="shared" si="338"/>
        <v>181</v>
      </c>
    </row>
    <row r="3545" spans="6:33" ht="24" customHeight="1">
      <c r="F3545" s="754">
        <v>92</v>
      </c>
      <c r="G3545" s="754" t="s">
        <v>769</v>
      </c>
      <c r="H3545" s="754" t="s">
        <v>3639</v>
      </c>
      <c r="I3545" s="754">
        <f t="shared" si="339"/>
        <v>2.41</v>
      </c>
      <c r="J3545" s="754" t="s">
        <v>769</v>
      </c>
      <c r="K3545" s="754">
        <f t="shared" si="335"/>
        <v>221.72</v>
      </c>
      <c r="M3545" s="754">
        <f>F3541</f>
        <v>2</v>
      </c>
      <c r="N3545" s="754" t="s">
        <v>769</v>
      </c>
      <c r="O3545" s="754" t="s">
        <v>3636</v>
      </c>
      <c r="P3545" s="754">
        <f t="shared" si="341"/>
        <v>57.65</v>
      </c>
      <c r="Q3545" s="754" t="s">
        <v>769</v>
      </c>
      <c r="R3545" s="754">
        <f t="shared" si="342"/>
        <v>115.3</v>
      </c>
      <c r="S3545" s="754">
        <v>92</v>
      </c>
      <c r="T3545" s="754" t="s">
        <v>769</v>
      </c>
      <c r="U3545" s="754" t="s">
        <v>3639</v>
      </c>
      <c r="V3545" s="754">
        <f t="shared" si="336"/>
        <v>2.41</v>
      </c>
      <c r="W3545" s="756" t="s">
        <v>769</v>
      </c>
      <c r="X3545" s="754">
        <f t="shared" si="337"/>
        <v>221.72</v>
      </c>
      <c r="AB3545" s="754">
        <v>92</v>
      </c>
      <c r="AC3545" s="754" t="s">
        <v>769</v>
      </c>
      <c r="AD3545" s="754" t="s">
        <v>3639</v>
      </c>
      <c r="AE3545" s="754">
        <f t="shared" si="340"/>
        <v>2.41</v>
      </c>
      <c r="AF3545" s="754" t="s">
        <v>769</v>
      </c>
      <c r="AG3545" s="754">
        <f t="shared" si="338"/>
        <v>221.72</v>
      </c>
    </row>
    <row r="3546" spans="6:33" ht="24" customHeight="1">
      <c r="F3546" s="754">
        <v>1</v>
      </c>
      <c r="G3546" s="754" t="s">
        <v>769</v>
      </c>
      <c r="H3546" s="754" t="s">
        <v>3640</v>
      </c>
      <c r="I3546" s="754">
        <f t="shared" si="339"/>
        <v>23.1</v>
      </c>
      <c r="J3546" s="754" t="s">
        <v>769</v>
      </c>
      <c r="K3546" s="754">
        <f t="shared" si="335"/>
        <v>23.1</v>
      </c>
      <c r="M3546" s="754">
        <f t="shared" ref="M3546:M3551" si="343">F3542</f>
        <v>3</v>
      </c>
      <c r="N3546" s="754" t="s">
        <v>769</v>
      </c>
      <c r="O3546" s="754" t="s">
        <v>3637</v>
      </c>
      <c r="P3546" s="754">
        <f t="shared" si="341"/>
        <v>89.6</v>
      </c>
      <c r="Q3546" s="754" t="s">
        <v>769</v>
      </c>
      <c r="R3546" s="754">
        <f t="shared" si="342"/>
        <v>268.8</v>
      </c>
      <c r="S3546" s="754">
        <v>1</v>
      </c>
      <c r="T3546" s="754" t="s">
        <v>769</v>
      </c>
      <c r="U3546" s="754" t="s">
        <v>3640</v>
      </c>
      <c r="V3546" s="754">
        <f t="shared" si="336"/>
        <v>23.1</v>
      </c>
      <c r="W3546" s="756" t="s">
        <v>769</v>
      </c>
      <c r="X3546" s="754">
        <f t="shared" si="337"/>
        <v>23.1</v>
      </c>
      <c r="AB3546" s="754">
        <v>1</v>
      </c>
      <c r="AC3546" s="754" t="s">
        <v>769</v>
      </c>
      <c r="AD3546" s="754" t="s">
        <v>3640</v>
      </c>
      <c r="AE3546" s="754">
        <f t="shared" si="340"/>
        <v>23.1</v>
      </c>
      <c r="AF3546" s="754" t="s">
        <v>769</v>
      </c>
      <c r="AG3546" s="754">
        <f t="shared" si="338"/>
        <v>23.1</v>
      </c>
    </row>
    <row r="3547" spans="6:33" ht="24" customHeight="1">
      <c r="F3547" s="754">
        <v>1</v>
      </c>
      <c r="G3547" s="754" t="s">
        <v>769</v>
      </c>
      <c r="H3547" s="754" t="s">
        <v>3641</v>
      </c>
      <c r="I3547" s="754">
        <f t="shared" si="339"/>
        <v>49.55</v>
      </c>
      <c r="J3547" s="754" t="s">
        <v>769</v>
      </c>
      <c r="K3547" s="754">
        <f t="shared" si="335"/>
        <v>49.55</v>
      </c>
      <c r="M3547" s="754">
        <f t="shared" si="343"/>
        <v>2</v>
      </c>
      <c r="N3547" s="754" t="s">
        <v>769</v>
      </c>
      <c r="O3547" s="754" t="s">
        <v>3638</v>
      </c>
      <c r="P3547" s="754">
        <f t="shared" si="341"/>
        <v>64.8</v>
      </c>
      <c r="Q3547" s="754" t="s">
        <v>769</v>
      </c>
      <c r="R3547" s="754">
        <f t="shared" si="342"/>
        <v>129.6</v>
      </c>
      <c r="S3547" s="754">
        <v>1</v>
      </c>
      <c r="T3547" s="754" t="s">
        <v>769</v>
      </c>
      <c r="U3547" s="754" t="s">
        <v>3641</v>
      </c>
      <c r="V3547" s="754">
        <f t="shared" si="336"/>
        <v>49.55</v>
      </c>
      <c r="W3547" s="756" t="s">
        <v>769</v>
      </c>
      <c r="X3547" s="754">
        <f t="shared" si="337"/>
        <v>49.55</v>
      </c>
      <c r="AB3547" s="754">
        <v>1</v>
      </c>
      <c r="AC3547" s="754" t="s">
        <v>769</v>
      </c>
      <c r="AD3547" s="754" t="s">
        <v>3641</v>
      </c>
      <c r="AE3547" s="754">
        <f t="shared" si="340"/>
        <v>49.55</v>
      </c>
      <c r="AF3547" s="754" t="s">
        <v>769</v>
      </c>
      <c r="AG3547" s="754">
        <f t="shared" si="338"/>
        <v>49.55</v>
      </c>
    </row>
    <row r="3548" spans="6:33" ht="24" customHeight="1">
      <c r="F3548" s="834">
        <v>0.35</v>
      </c>
      <c r="G3548" s="754" t="s">
        <v>609</v>
      </c>
      <c r="H3548" s="754" t="s">
        <v>3760</v>
      </c>
      <c r="I3548" s="754">
        <f>K1541</f>
        <v>233.74</v>
      </c>
      <c r="J3548" s="754" t="s">
        <v>609</v>
      </c>
      <c r="K3548" s="754"/>
      <c r="M3548" s="754">
        <f t="shared" si="343"/>
        <v>1</v>
      </c>
      <c r="N3548" s="754" t="s">
        <v>769</v>
      </c>
      <c r="O3548" s="754" t="s">
        <v>2455</v>
      </c>
      <c r="P3548" s="754">
        <f t="shared" si="341"/>
        <v>181</v>
      </c>
      <c r="Q3548" s="754" t="s">
        <v>769</v>
      </c>
      <c r="R3548" s="754">
        <f t="shared" si="342"/>
        <v>181</v>
      </c>
      <c r="S3548" s="834">
        <v>0.39</v>
      </c>
      <c r="T3548" s="754" t="s">
        <v>609</v>
      </c>
      <c r="U3548" s="754" t="s">
        <v>3760</v>
      </c>
      <c r="V3548" s="754">
        <f t="shared" si="336"/>
        <v>233.74</v>
      </c>
      <c r="W3548" s="756" t="s">
        <v>609</v>
      </c>
      <c r="X3548" s="754"/>
      <c r="AB3548" s="834">
        <v>0.35</v>
      </c>
      <c r="AC3548" s="754" t="s">
        <v>609</v>
      </c>
      <c r="AD3548" s="754" t="s">
        <v>3760</v>
      </c>
      <c r="AE3548" s="754">
        <f t="shared" si="340"/>
        <v>233.74</v>
      </c>
      <c r="AF3548" s="754" t="s">
        <v>609</v>
      </c>
      <c r="AG3548" s="754"/>
    </row>
    <row r="3549" spans="6:33" ht="24" customHeight="1">
      <c r="F3549" s="754"/>
      <c r="G3549" s="754"/>
      <c r="H3549" s="754" t="s">
        <v>3645</v>
      </c>
      <c r="I3549" s="754"/>
      <c r="J3549" s="752"/>
      <c r="K3549" s="754">
        <f>SUM(K3539:K3548)</f>
        <v>5093.17</v>
      </c>
      <c r="M3549" s="754">
        <f t="shared" si="343"/>
        <v>92</v>
      </c>
      <c r="N3549" s="754" t="s">
        <v>769</v>
      </c>
      <c r="O3549" s="754" t="s">
        <v>3639</v>
      </c>
      <c r="P3549" s="754">
        <f t="shared" si="341"/>
        <v>2.41</v>
      </c>
      <c r="Q3549" s="754" t="s">
        <v>769</v>
      </c>
      <c r="R3549" s="754">
        <f t="shared" si="342"/>
        <v>221.72</v>
      </c>
      <c r="S3549" s="754"/>
      <c r="T3549" s="754"/>
      <c r="U3549" s="754" t="s">
        <v>3762</v>
      </c>
      <c r="V3549" s="754"/>
      <c r="W3549" s="756"/>
      <c r="X3549" s="754">
        <f>SUM(X3539:X3548)</f>
        <v>5791.62</v>
      </c>
      <c r="AB3549" s="754"/>
      <c r="AC3549" s="754"/>
      <c r="AD3549" s="754" t="s">
        <v>4349</v>
      </c>
      <c r="AE3549" s="754"/>
      <c r="AF3549" s="752"/>
      <c r="AG3549" s="754">
        <f>SUM(AG3539:AG3548)</f>
        <v>4642.17</v>
      </c>
    </row>
    <row r="3550" spans="6:33" ht="24" customHeight="1">
      <c r="F3550" s="754"/>
      <c r="G3550" s="754"/>
      <c r="H3550" s="754" t="s">
        <v>3225</v>
      </c>
      <c r="I3550" s="754"/>
      <c r="J3550" s="752"/>
      <c r="K3550" s="754">
        <f>K3549/F3540</f>
        <v>2798.45</v>
      </c>
      <c r="M3550" s="754">
        <f t="shared" si="343"/>
        <v>1</v>
      </c>
      <c r="N3550" s="754" t="s">
        <v>769</v>
      </c>
      <c r="O3550" s="754" t="s">
        <v>3640</v>
      </c>
      <c r="P3550" s="754">
        <f t="shared" si="341"/>
        <v>23.1</v>
      </c>
      <c r="Q3550" s="754" t="s">
        <v>769</v>
      </c>
      <c r="R3550" s="754">
        <f t="shared" si="342"/>
        <v>23.1</v>
      </c>
      <c r="S3550" s="754"/>
      <c r="T3550" s="754"/>
      <c r="U3550" s="754" t="s">
        <v>3225</v>
      </c>
      <c r="V3550" s="754"/>
      <c r="W3550" s="756"/>
      <c r="X3550" s="754">
        <f>X3549/S3540</f>
        <v>2771.11</v>
      </c>
      <c r="AB3550" s="754"/>
      <c r="AC3550" s="754"/>
      <c r="AD3550" s="754" t="s">
        <v>3225</v>
      </c>
      <c r="AE3550" s="754"/>
      <c r="AF3550" s="752"/>
      <c r="AG3550" s="754">
        <f>AG3549/AB3540</f>
        <v>2865.54</v>
      </c>
    </row>
    <row r="3551" spans="6:33" ht="24" customHeight="1">
      <c r="M3551" s="754">
        <f t="shared" si="343"/>
        <v>1</v>
      </c>
      <c r="N3551" s="754" t="s">
        <v>769</v>
      </c>
      <c r="O3551" s="754" t="s">
        <v>3641</v>
      </c>
      <c r="P3551" s="754">
        <f t="shared" si="341"/>
        <v>49.55</v>
      </c>
      <c r="Q3551" s="754" t="s">
        <v>769</v>
      </c>
      <c r="R3551" s="754">
        <f t="shared" si="342"/>
        <v>49.55</v>
      </c>
      <c r="W3551" s="744"/>
      <c r="AF3551" s="374"/>
    </row>
    <row r="3552" spans="6:33" ht="24" customHeight="1">
      <c r="M3552" s="834"/>
      <c r="N3552" s="754" t="s">
        <v>609</v>
      </c>
      <c r="O3552" s="754" t="s">
        <v>3642</v>
      </c>
      <c r="P3552" s="754">
        <f t="shared" si="341"/>
        <v>233.74</v>
      </c>
      <c r="Q3552" s="754" t="s">
        <v>609</v>
      </c>
      <c r="R3552" s="754">
        <f t="shared" si="342"/>
        <v>0</v>
      </c>
      <c r="W3552" s="744"/>
    </row>
    <row r="3553" spans="6:33" ht="24" customHeight="1">
      <c r="F3553" s="765"/>
      <c r="G3553" s="283" t="s">
        <v>2251</v>
      </c>
      <c r="H3553" s="374" t="s">
        <v>2219</v>
      </c>
      <c r="M3553" s="754"/>
      <c r="N3553" s="754"/>
      <c r="O3553" s="754" t="s">
        <v>3756</v>
      </c>
      <c r="P3553" s="754"/>
      <c r="Q3553" s="752"/>
      <c r="R3553" s="754">
        <f>SUM(R3543:R3552)</f>
        <v>6761.87</v>
      </c>
      <c r="S3553" s="754"/>
      <c r="T3553" s="754"/>
      <c r="U3553" s="754" t="s">
        <v>3763</v>
      </c>
      <c r="V3553" s="754"/>
      <c r="W3553" s="756"/>
      <c r="AB3553" s="754"/>
      <c r="AC3553" s="754"/>
      <c r="AD3553" s="754" t="s">
        <v>4634</v>
      </c>
      <c r="AE3553" s="754"/>
      <c r="AF3553" s="752"/>
    </row>
    <row r="3554" spans="6:33" ht="24" customHeight="1">
      <c r="H3554" s="745" t="s">
        <v>6142</v>
      </c>
      <c r="M3554" s="754"/>
      <c r="N3554" s="754"/>
      <c r="O3554" s="754" t="s">
        <v>3225</v>
      </c>
      <c r="P3554" s="754"/>
      <c r="Q3554" s="752"/>
      <c r="R3554" s="754">
        <f>R3553/M3544</f>
        <v>2641.36</v>
      </c>
      <c r="S3554" s="283"/>
      <c r="U3554" s="754" t="s">
        <v>3766</v>
      </c>
      <c r="V3554" s="283">
        <f>1.4*2.025</f>
        <v>2.84</v>
      </c>
      <c r="W3554" s="744"/>
      <c r="AD3554" s="754" t="s">
        <v>4635</v>
      </c>
      <c r="AE3554" s="283">
        <f>0.8*2.325</f>
        <v>1.86</v>
      </c>
      <c r="AF3554" s="374"/>
    </row>
    <row r="3555" spans="6:33" ht="24" customHeight="1">
      <c r="H3555" s="374" t="s">
        <v>1142</v>
      </c>
      <c r="Q3555" s="374"/>
      <c r="S3555" s="754">
        <f>V3554</f>
        <v>2.84</v>
      </c>
      <c r="T3555" s="754" t="s">
        <v>609</v>
      </c>
      <c r="U3555" s="754" t="s">
        <v>3634</v>
      </c>
      <c r="V3555" s="754">
        <f>P3527</f>
        <v>2255</v>
      </c>
      <c r="W3555" s="756" t="s">
        <v>609</v>
      </c>
      <c r="X3555" s="754">
        <f>V3555*S3555</f>
        <v>6404.2</v>
      </c>
      <c r="AB3555" s="754">
        <f>AE3554</f>
        <v>1.86</v>
      </c>
      <c r="AC3555" s="754" t="s">
        <v>609</v>
      </c>
      <c r="AD3555" s="754" t="s">
        <v>3634</v>
      </c>
      <c r="AE3555" s="754">
        <f>AE3539</f>
        <v>2255</v>
      </c>
      <c r="AF3555" s="754" t="s">
        <v>609</v>
      </c>
      <c r="AG3555" s="754">
        <f>AE3555*AB3555</f>
        <v>4194.3</v>
      </c>
    </row>
    <row r="3556" spans="6:33" ht="24" customHeight="1">
      <c r="H3556" s="374" t="s">
        <v>1143</v>
      </c>
      <c r="M3556" s="765"/>
      <c r="N3556" s="283" t="s">
        <v>2251</v>
      </c>
      <c r="O3556" s="374" t="s">
        <v>2219</v>
      </c>
      <c r="Q3556" s="374"/>
      <c r="S3556" s="754">
        <f>V3554</f>
        <v>2.84</v>
      </c>
      <c r="T3556" s="754" t="s">
        <v>609</v>
      </c>
      <c r="U3556" s="754" t="s">
        <v>3635</v>
      </c>
      <c r="V3556" s="754">
        <f>P3528</f>
        <v>0</v>
      </c>
      <c r="W3556" s="756" t="s">
        <v>609</v>
      </c>
      <c r="X3556" s="754">
        <f t="shared" ref="X3556:X3563" si="344">V3556*S3556</f>
        <v>0</v>
      </c>
      <c r="AB3556" s="754">
        <f>AE3554</f>
        <v>1.86</v>
      </c>
      <c r="AC3556" s="754" t="s">
        <v>609</v>
      </c>
      <c r="AD3556" s="754" t="s">
        <v>3635</v>
      </c>
      <c r="AE3556" s="754">
        <f t="shared" ref="AE3556:AE3564" si="345">AE3540</f>
        <v>0</v>
      </c>
      <c r="AF3556" s="754" t="s">
        <v>609</v>
      </c>
      <c r="AG3556" s="754">
        <f t="shared" ref="AG3556:AG3563" si="346">AE3556*AB3556</f>
        <v>0</v>
      </c>
    </row>
    <row r="3557" spans="6:33" ht="24" customHeight="1">
      <c r="H3557" s="748" t="s">
        <v>1586</v>
      </c>
      <c r="O3557" s="745" t="s">
        <v>6142</v>
      </c>
      <c r="Q3557" s="374"/>
      <c r="S3557" s="754">
        <v>4</v>
      </c>
      <c r="T3557" s="754" t="s">
        <v>769</v>
      </c>
      <c r="U3557" s="754" t="s">
        <v>3636</v>
      </c>
      <c r="V3557" s="754">
        <f t="shared" ref="V3557:V3564" si="347">V3541</f>
        <v>57.65</v>
      </c>
      <c r="W3557" s="756" t="s">
        <v>769</v>
      </c>
      <c r="X3557" s="754">
        <f t="shared" si="344"/>
        <v>230.6</v>
      </c>
      <c r="AB3557" s="754">
        <v>2</v>
      </c>
      <c r="AC3557" s="754" t="s">
        <v>769</v>
      </c>
      <c r="AD3557" s="754" t="s">
        <v>3636</v>
      </c>
      <c r="AE3557" s="754">
        <f t="shared" si="345"/>
        <v>57.65</v>
      </c>
      <c r="AF3557" s="754" t="s">
        <v>769</v>
      </c>
      <c r="AG3557" s="754">
        <f t="shared" si="346"/>
        <v>115.3</v>
      </c>
    </row>
    <row r="3558" spans="6:33" ht="46.5" customHeight="1">
      <c r="F3558" s="828">
        <v>1</v>
      </c>
      <c r="G3558" s="828" t="s">
        <v>868</v>
      </c>
      <c r="H3558" s="777" t="s">
        <v>4601</v>
      </c>
      <c r="I3558" s="828">
        <v>1672</v>
      </c>
      <c r="J3558" s="829" t="s">
        <v>868</v>
      </c>
      <c r="K3558" s="828">
        <f>(F3558*I3558)</f>
        <v>1672</v>
      </c>
      <c r="O3558" s="374" t="s">
        <v>1142</v>
      </c>
      <c r="Q3558" s="374"/>
      <c r="S3558" s="754">
        <v>6</v>
      </c>
      <c r="T3558" s="754" t="s">
        <v>769</v>
      </c>
      <c r="U3558" s="754" t="s">
        <v>3637</v>
      </c>
      <c r="V3558" s="754">
        <f t="shared" si="347"/>
        <v>89.6</v>
      </c>
      <c r="W3558" s="756" t="s">
        <v>769</v>
      </c>
      <c r="X3558" s="754">
        <f t="shared" si="344"/>
        <v>537.6</v>
      </c>
      <c r="AB3558" s="754">
        <v>4</v>
      </c>
      <c r="AC3558" s="754" t="s">
        <v>769</v>
      </c>
      <c r="AD3558" s="754" t="s">
        <v>3637</v>
      </c>
      <c r="AE3558" s="754">
        <f t="shared" si="345"/>
        <v>89.6</v>
      </c>
      <c r="AF3558" s="754" t="s">
        <v>769</v>
      </c>
      <c r="AG3558" s="754">
        <f t="shared" si="346"/>
        <v>358.4</v>
      </c>
    </row>
    <row r="3559" spans="6:33" ht="33.75" customHeight="1">
      <c r="H3559" s="374"/>
      <c r="O3559" s="374" t="s">
        <v>1143</v>
      </c>
      <c r="Q3559" s="374"/>
      <c r="S3559" s="754">
        <v>4</v>
      </c>
      <c r="T3559" s="754" t="s">
        <v>769</v>
      </c>
      <c r="U3559" s="754" t="s">
        <v>3638</v>
      </c>
      <c r="V3559" s="754">
        <f t="shared" si="347"/>
        <v>64.8</v>
      </c>
      <c r="W3559" s="756" t="s">
        <v>769</v>
      </c>
      <c r="X3559" s="754">
        <f t="shared" si="344"/>
        <v>259.2</v>
      </c>
      <c r="AB3559" s="754">
        <v>2</v>
      </c>
      <c r="AC3559" s="754" t="s">
        <v>769</v>
      </c>
      <c r="AD3559" s="754" t="s">
        <v>3638</v>
      </c>
      <c r="AE3559" s="754">
        <f t="shared" si="345"/>
        <v>64.8</v>
      </c>
      <c r="AF3559" s="754" t="s">
        <v>769</v>
      </c>
      <c r="AG3559" s="754">
        <f t="shared" si="346"/>
        <v>129.6</v>
      </c>
    </row>
    <row r="3560" spans="6:33" ht="24" customHeight="1">
      <c r="H3560" s="374"/>
      <c r="J3560" s="744"/>
      <c r="O3560" s="748" t="s">
        <v>1586</v>
      </c>
      <c r="Q3560" s="374"/>
      <c r="S3560" s="754">
        <v>1</v>
      </c>
      <c r="T3560" s="754" t="s">
        <v>769</v>
      </c>
      <c r="U3560" s="754" t="s">
        <v>2455</v>
      </c>
      <c r="V3560" s="754">
        <f t="shared" si="347"/>
        <v>181</v>
      </c>
      <c r="W3560" s="756" t="s">
        <v>769</v>
      </c>
      <c r="X3560" s="754">
        <f t="shared" si="344"/>
        <v>181</v>
      </c>
      <c r="AB3560" s="754">
        <v>1</v>
      </c>
      <c r="AC3560" s="754" t="s">
        <v>769</v>
      </c>
      <c r="AD3560" s="754" t="s">
        <v>2455</v>
      </c>
      <c r="AE3560" s="754">
        <f t="shared" si="345"/>
        <v>181</v>
      </c>
      <c r="AF3560" s="754" t="s">
        <v>769</v>
      </c>
      <c r="AG3560" s="754">
        <f t="shared" si="346"/>
        <v>181</v>
      </c>
    </row>
    <row r="3561" spans="6:33" ht="24" customHeight="1">
      <c r="F3561" s="828">
        <v>1</v>
      </c>
      <c r="G3561" s="828" t="s">
        <v>868</v>
      </c>
      <c r="H3561" s="374" t="s">
        <v>2132</v>
      </c>
      <c r="I3561" s="283">
        <f>I1940</f>
        <v>-169</v>
      </c>
      <c r="J3561" s="374" t="s">
        <v>868</v>
      </c>
      <c r="K3561" s="828">
        <f>(F3561*I3561)</f>
        <v>-169</v>
      </c>
      <c r="M3561" s="828">
        <v>1</v>
      </c>
      <c r="N3561" s="828" t="s">
        <v>868</v>
      </c>
      <c r="O3561" s="777" t="s">
        <v>4601</v>
      </c>
      <c r="P3561" s="828">
        <v>1672</v>
      </c>
      <c r="Q3561" s="829" t="s">
        <v>868</v>
      </c>
      <c r="R3561" s="828">
        <f>(M3561*P3561)</f>
        <v>1672</v>
      </c>
      <c r="S3561" s="754">
        <v>118</v>
      </c>
      <c r="T3561" s="754" t="s">
        <v>769</v>
      </c>
      <c r="U3561" s="754" t="s">
        <v>3639</v>
      </c>
      <c r="V3561" s="754">
        <f t="shared" si="347"/>
        <v>2.41</v>
      </c>
      <c r="W3561" s="756" t="s">
        <v>769</v>
      </c>
      <c r="X3561" s="754">
        <f t="shared" si="344"/>
        <v>284.38</v>
      </c>
      <c r="AB3561" s="754">
        <v>92</v>
      </c>
      <c r="AC3561" s="754" t="s">
        <v>769</v>
      </c>
      <c r="AD3561" s="754" t="s">
        <v>3639</v>
      </c>
      <c r="AE3561" s="754">
        <f t="shared" si="345"/>
        <v>2.41</v>
      </c>
      <c r="AF3561" s="754" t="s">
        <v>769</v>
      </c>
      <c r="AG3561" s="754">
        <f t="shared" si="346"/>
        <v>221.72</v>
      </c>
    </row>
    <row r="3562" spans="6:33" ht="24" customHeight="1">
      <c r="H3562" s="374"/>
      <c r="J3562" s="744"/>
      <c r="O3562" s="374"/>
      <c r="Q3562" s="374"/>
      <c r="S3562" s="754">
        <v>2</v>
      </c>
      <c r="T3562" s="754" t="s">
        <v>769</v>
      </c>
      <c r="U3562" s="754" t="s">
        <v>3640</v>
      </c>
      <c r="V3562" s="754">
        <f t="shared" si="347"/>
        <v>23.1</v>
      </c>
      <c r="W3562" s="756" t="s">
        <v>769</v>
      </c>
      <c r="X3562" s="754">
        <f t="shared" si="344"/>
        <v>46.2</v>
      </c>
      <c r="AB3562" s="754">
        <v>1</v>
      </c>
      <c r="AC3562" s="754" t="s">
        <v>769</v>
      </c>
      <c r="AD3562" s="754" t="s">
        <v>3640</v>
      </c>
      <c r="AE3562" s="754">
        <f t="shared" si="345"/>
        <v>23.1</v>
      </c>
      <c r="AF3562" s="754" t="s">
        <v>769</v>
      </c>
      <c r="AG3562" s="754">
        <f t="shared" si="346"/>
        <v>23.1</v>
      </c>
    </row>
    <row r="3563" spans="6:33" ht="24" customHeight="1">
      <c r="F3563" s="283">
        <v>1</v>
      </c>
      <c r="G3563" s="283" t="s">
        <v>868</v>
      </c>
      <c r="H3563" s="374" t="s">
        <v>2133</v>
      </c>
      <c r="I3563" s="283">
        <v>250</v>
      </c>
      <c r="J3563" s="374" t="s">
        <v>868</v>
      </c>
      <c r="K3563" s="828">
        <f>(F3563*I3563)</f>
        <v>250</v>
      </c>
      <c r="O3563" s="374"/>
      <c r="Q3563" s="744"/>
      <c r="S3563" s="754">
        <v>2</v>
      </c>
      <c r="T3563" s="754" t="s">
        <v>769</v>
      </c>
      <c r="U3563" s="754" t="s">
        <v>3641</v>
      </c>
      <c r="V3563" s="754">
        <f t="shared" si="347"/>
        <v>49.55</v>
      </c>
      <c r="W3563" s="756" t="s">
        <v>769</v>
      </c>
      <c r="X3563" s="754">
        <f t="shared" si="344"/>
        <v>99.1</v>
      </c>
      <c r="AB3563" s="754">
        <v>1</v>
      </c>
      <c r="AC3563" s="754" t="s">
        <v>769</v>
      </c>
      <c r="AD3563" s="754" t="s">
        <v>3641</v>
      </c>
      <c r="AE3563" s="754">
        <f t="shared" si="345"/>
        <v>49.55</v>
      </c>
      <c r="AF3563" s="754" t="s">
        <v>769</v>
      </c>
      <c r="AG3563" s="754">
        <f t="shared" si="346"/>
        <v>49.55</v>
      </c>
    </row>
    <row r="3564" spans="6:33" ht="24" customHeight="1">
      <c r="H3564" s="374"/>
      <c r="M3564" s="828">
        <v>1</v>
      </c>
      <c r="N3564" s="828" t="s">
        <v>868</v>
      </c>
      <c r="O3564" s="374" t="s">
        <v>2132</v>
      </c>
      <c r="P3564" s="283">
        <f>I3561</f>
        <v>-169</v>
      </c>
      <c r="Q3564" s="374" t="s">
        <v>868</v>
      </c>
      <c r="R3564" s="828">
        <f>(M3564*P3564)</f>
        <v>-169</v>
      </c>
      <c r="S3564" s="834">
        <v>0.65</v>
      </c>
      <c r="T3564" s="754" t="s">
        <v>609</v>
      </c>
      <c r="U3564" s="754" t="s">
        <v>3760</v>
      </c>
      <c r="V3564" s="754">
        <f t="shared" si="347"/>
        <v>233.74</v>
      </c>
      <c r="W3564" s="756" t="s">
        <v>609</v>
      </c>
      <c r="X3564" s="754"/>
      <c r="AB3564" s="834">
        <v>0.39</v>
      </c>
      <c r="AC3564" s="754" t="s">
        <v>609</v>
      </c>
      <c r="AD3564" s="754" t="s">
        <v>3760</v>
      </c>
      <c r="AE3564" s="754">
        <f t="shared" si="345"/>
        <v>233.74</v>
      </c>
      <c r="AF3564" s="754" t="s">
        <v>609</v>
      </c>
      <c r="AG3564" s="754"/>
    </row>
    <row r="3565" spans="6:33" ht="24" customHeight="1">
      <c r="F3565" s="283">
        <v>0.5</v>
      </c>
      <c r="G3565" s="283" t="s">
        <v>868</v>
      </c>
      <c r="H3565" s="374" t="s">
        <v>2103</v>
      </c>
      <c r="I3565" s="283">
        <f>I1944</f>
        <v>866</v>
      </c>
      <c r="J3565" s="374" t="s">
        <v>868</v>
      </c>
      <c r="K3565" s="283">
        <f>(F3565*I3565)</f>
        <v>433</v>
      </c>
      <c r="O3565" s="374"/>
      <c r="Q3565" s="744"/>
      <c r="S3565" s="754"/>
      <c r="T3565" s="754"/>
      <c r="U3565" s="754" t="s">
        <v>3767</v>
      </c>
      <c r="V3565" s="754"/>
      <c r="W3565" s="756"/>
      <c r="X3565" s="754">
        <f>SUM(X3555:X3564)</f>
        <v>8042.28</v>
      </c>
      <c r="AB3565" s="754"/>
      <c r="AC3565" s="754"/>
      <c r="AD3565" s="754" t="s">
        <v>4636</v>
      </c>
      <c r="AE3565" s="754"/>
      <c r="AF3565" s="752"/>
      <c r="AG3565" s="754">
        <f>SUM(AG3555:AG3564)</f>
        <v>5272.97</v>
      </c>
    </row>
    <row r="3566" spans="6:33" ht="24" customHeight="1">
      <c r="F3566" s="283">
        <v>1</v>
      </c>
      <c r="G3566" s="283" t="s">
        <v>868</v>
      </c>
      <c r="H3566" s="374" t="s">
        <v>1902</v>
      </c>
      <c r="I3566" s="283">
        <f>I1945</f>
        <v>651</v>
      </c>
      <c r="J3566" s="374" t="s">
        <v>868</v>
      </c>
      <c r="K3566" s="283">
        <f>(F3566*I3566)</f>
        <v>651</v>
      </c>
      <c r="M3566" s="283">
        <v>1</v>
      </c>
      <c r="N3566" s="283" t="s">
        <v>868</v>
      </c>
      <c r="O3566" s="374" t="s">
        <v>2133</v>
      </c>
      <c r="P3566" s="283">
        <v>250</v>
      </c>
      <c r="Q3566" s="374" t="s">
        <v>868</v>
      </c>
      <c r="R3566" s="828">
        <f>(M3566*P3566)</f>
        <v>250</v>
      </c>
      <c r="S3566" s="754"/>
      <c r="T3566" s="754"/>
      <c r="U3566" s="754" t="s">
        <v>3225</v>
      </c>
      <c r="V3566" s="754"/>
      <c r="W3566" s="756"/>
      <c r="X3566" s="754">
        <f>X3565/S3556</f>
        <v>2831.79</v>
      </c>
      <c r="AB3566" s="754"/>
      <c r="AC3566" s="754"/>
      <c r="AD3566" s="754" t="s">
        <v>3225</v>
      </c>
      <c r="AE3566" s="754"/>
      <c r="AF3566" s="752"/>
      <c r="AG3566" s="754">
        <f>AG3565/AB3556</f>
        <v>2834.93</v>
      </c>
    </row>
    <row r="3567" spans="6:33" ht="24" customHeight="1">
      <c r="F3567" s="283">
        <v>0.5</v>
      </c>
      <c r="G3567" s="283" t="s">
        <v>868</v>
      </c>
      <c r="H3567" s="374" t="s">
        <v>2009</v>
      </c>
      <c r="I3567" s="283">
        <f>I1946</f>
        <v>999</v>
      </c>
      <c r="J3567" s="374" t="s">
        <v>868</v>
      </c>
      <c r="K3567" s="283">
        <f>(F3567*I3567)</f>
        <v>499.5</v>
      </c>
      <c r="O3567" s="374"/>
      <c r="Q3567" s="374"/>
      <c r="W3567" s="744"/>
    </row>
    <row r="3568" spans="6:33" ht="24" customHeight="1">
      <c r="G3568" s="283" t="s">
        <v>449</v>
      </c>
      <c r="H3568" s="374" t="s">
        <v>1144</v>
      </c>
      <c r="J3568" s="374" t="s">
        <v>449</v>
      </c>
      <c r="K3568" s="283">
        <v>0.82</v>
      </c>
      <c r="M3568" s="283">
        <v>0.5</v>
      </c>
      <c r="N3568" s="283" t="s">
        <v>868</v>
      </c>
      <c r="O3568" s="374" t="s">
        <v>2103</v>
      </c>
      <c r="P3568" s="283">
        <f>I3565</f>
        <v>866</v>
      </c>
      <c r="Q3568" s="374" t="s">
        <v>868</v>
      </c>
      <c r="R3568" s="283">
        <f>(M3568*P3568)</f>
        <v>433</v>
      </c>
      <c r="W3568" s="744"/>
    </row>
    <row r="3569" spans="1:119" ht="24" customHeight="1">
      <c r="K3569" s="748" t="s">
        <v>1586</v>
      </c>
      <c r="M3569" s="283">
        <v>1</v>
      </c>
      <c r="N3569" s="283" t="s">
        <v>868</v>
      </c>
      <c r="O3569" s="374" t="s">
        <v>1902</v>
      </c>
      <c r="P3569" s="283">
        <f>I3566</f>
        <v>651</v>
      </c>
      <c r="Q3569" s="374" t="s">
        <v>868</v>
      </c>
      <c r="R3569" s="283">
        <f>(M3569*P3569)</f>
        <v>651</v>
      </c>
      <c r="S3569" s="754"/>
      <c r="T3569" s="754"/>
      <c r="U3569" s="754" t="s">
        <v>3764</v>
      </c>
      <c r="V3569" s="754"/>
      <c r="W3569" s="756"/>
    </row>
    <row r="3570" spans="1:119" ht="24" customHeight="1">
      <c r="H3570" s="374" t="s">
        <v>1751</v>
      </c>
      <c r="K3570" s="751">
        <f>SUM(K3558:K3568)</f>
        <v>3337.32</v>
      </c>
      <c r="M3570" s="283">
        <v>0.5</v>
      </c>
      <c r="N3570" s="283" t="s">
        <v>868</v>
      </c>
      <c r="O3570" s="374" t="s">
        <v>2009</v>
      </c>
      <c r="P3570" s="283">
        <f>I3567</f>
        <v>999</v>
      </c>
      <c r="Q3570" s="374" t="s">
        <v>868</v>
      </c>
      <c r="R3570" s="283">
        <f>(M3570*P3570)</f>
        <v>499.5</v>
      </c>
      <c r="S3570" s="283"/>
      <c r="U3570" s="754" t="s">
        <v>3765</v>
      </c>
      <c r="V3570" s="283">
        <f>1.4*2.325</f>
        <v>3.26</v>
      </c>
      <c r="W3570" s="744"/>
    </row>
    <row r="3571" spans="1:119" ht="24" customHeight="1">
      <c r="K3571" s="748" t="s">
        <v>1586</v>
      </c>
      <c r="N3571" s="283" t="s">
        <v>449</v>
      </c>
      <c r="O3571" s="374" t="s">
        <v>1144</v>
      </c>
      <c r="Q3571" s="374" t="s">
        <v>449</v>
      </c>
      <c r="R3571" s="283">
        <v>0.82</v>
      </c>
      <c r="S3571" s="754">
        <f>V3570</f>
        <v>3.26</v>
      </c>
      <c r="T3571" s="754" t="s">
        <v>609</v>
      </c>
      <c r="U3571" s="754" t="s">
        <v>3634</v>
      </c>
      <c r="V3571" s="754">
        <f>V3555</f>
        <v>2255</v>
      </c>
      <c r="W3571" s="756" t="s">
        <v>609</v>
      </c>
      <c r="X3571" s="754">
        <f>V3571*S3571</f>
        <v>7351.3</v>
      </c>
    </row>
    <row r="3572" spans="1:119" ht="24" customHeight="1">
      <c r="I3572" s="746"/>
      <c r="J3572" s="283"/>
      <c r="Q3572" s="374"/>
      <c r="R3572" s="748" t="s">
        <v>1586</v>
      </c>
      <c r="S3572" s="754">
        <f>V3570</f>
        <v>3.26</v>
      </c>
      <c r="T3572" s="754" t="s">
        <v>609</v>
      </c>
      <c r="U3572" s="754" t="s">
        <v>3635</v>
      </c>
      <c r="V3572" s="754">
        <f t="shared" ref="V3572:V3580" si="348">V3556</f>
        <v>0</v>
      </c>
      <c r="W3572" s="756" t="s">
        <v>609</v>
      </c>
      <c r="X3572" s="754">
        <f t="shared" ref="X3572:X3579" si="349">V3572*S3572</f>
        <v>0</v>
      </c>
    </row>
    <row r="3573" spans="1:119" ht="24" customHeight="1">
      <c r="H3573" s="881" t="s">
        <v>3728</v>
      </c>
      <c r="I3573" s="746"/>
      <c r="J3573" s="283"/>
      <c r="O3573" s="374" t="s">
        <v>1751</v>
      </c>
      <c r="Q3573" s="374"/>
      <c r="R3573" s="751">
        <f>SUM(R3561:R3571)</f>
        <v>3337.32</v>
      </c>
      <c r="S3573" s="754">
        <v>4</v>
      </c>
      <c r="T3573" s="754" t="s">
        <v>769</v>
      </c>
      <c r="U3573" s="754" t="s">
        <v>3636</v>
      </c>
      <c r="V3573" s="754">
        <f t="shared" si="348"/>
        <v>57.65</v>
      </c>
      <c r="W3573" s="756" t="s">
        <v>769</v>
      </c>
      <c r="X3573" s="754">
        <f t="shared" si="349"/>
        <v>230.6</v>
      </c>
    </row>
    <row r="3574" spans="1:119" ht="35.1" customHeight="1">
      <c r="F3574" s="283">
        <v>70</v>
      </c>
      <c r="G3574" s="283" t="s">
        <v>826</v>
      </c>
      <c r="H3574" s="283" t="s">
        <v>4027</v>
      </c>
      <c r="I3574" s="283">
        <f>P1354</f>
        <v>33</v>
      </c>
      <c r="J3574" s="374" t="s">
        <v>2365</v>
      </c>
      <c r="K3574" s="283">
        <f>I3574*F3574</f>
        <v>2310</v>
      </c>
      <c r="Q3574" s="374"/>
      <c r="R3574" s="748" t="s">
        <v>1586</v>
      </c>
      <c r="S3574" s="754">
        <v>6</v>
      </c>
      <c r="T3574" s="754" t="s">
        <v>769</v>
      </c>
      <c r="U3574" s="754" t="s">
        <v>3637</v>
      </c>
      <c r="V3574" s="754">
        <f t="shared" si="348"/>
        <v>89.6</v>
      </c>
      <c r="W3574" s="756" t="s">
        <v>769</v>
      </c>
      <c r="X3574" s="754">
        <f t="shared" si="349"/>
        <v>537.6</v>
      </c>
    </row>
    <row r="3575" spans="1:119" ht="35.1" customHeight="1">
      <c r="F3575" s="283">
        <v>0.3</v>
      </c>
      <c r="G3575" s="283" t="s">
        <v>1341</v>
      </c>
      <c r="H3575" s="283" t="s">
        <v>4028</v>
      </c>
      <c r="I3575" s="283">
        <f>P1356</f>
        <v>17600</v>
      </c>
      <c r="J3575" s="374" t="s">
        <v>3692</v>
      </c>
      <c r="K3575" s="283">
        <f>I3575*F3575</f>
        <v>5280</v>
      </c>
      <c r="S3575" s="754">
        <v>4</v>
      </c>
      <c r="T3575" s="754" t="s">
        <v>769</v>
      </c>
      <c r="U3575" s="754" t="s">
        <v>3638</v>
      </c>
      <c r="V3575" s="754">
        <f t="shared" si="348"/>
        <v>64.8</v>
      </c>
      <c r="W3575" s="756" t="s">
        <v>769</v>
      </c>
      <c r="X3575" s="754">
        <f t="shared" si="349"/>
        <v>259.2</v>
      </c>
    </row>
    <row r="3576" spans="1:119" ht="35.1" customHeight="1">
      <c r="H3576" s="283" t="s">
        <v>3709</v>
      </c>
      <c r="K3576" s="283">
        <f>SUM(K3574:K3575)</f>
        <v>7590</v>
      </c>
      <c r="S3576" s="754">
        <v>1</v>
      </c>
      <c r="T3576" s="754" t="s">
        <v>769</v>
      </c>
      <c r="U3576" s="754" t="s">
        <v>2455</v>
      </c>
      <c r="V3576" s="754">
        <f t="shared" si="348"/>
        <v>181</v>
      </c>
      <c r="W3576" s="756" t="s">
        <v>769</v>
      </c>
      <c r="X3576" s="754">
        <f t="shared" si="349"/>
        <v>181</v>
      </c>
    </row>
    <row r="3577" spans="1:119" ht="35.1" customHeight="1">
      <c r="H3577" s="751" t="s">
        <v>3710</v>
      </c>
      <c r="I3577" s="751"/>
      <c r="J3577" s="745"/>
      <c r="K3577" s="751">
        <f>K3576/10</f>
        <v>759</v>
      </c>
      <c r="S3577" s="754">
        <v>118</v>
      </c>
      <c r="T3577" s="754" t="s">
        <v>769</v>
      </c>
      <c r="U3577" s="754" t="s">
        <v>3639</v>
      </c>
      <c r="V3577" s="754">
        <f t="shared" si="348"/>
        <v>2.41</v>
      </c>
      <c r="W3577" s="756" t="s">
        <v>769</v>
      </c>
      <c r="X3577" s="754">
        <f t="shared" si="349"/>
        <v>284.38</v>
      </c>
    </row>
    <row r="3578" spans="1:119" ht="35.1" customHeight="1">
      <c r="F3578" s="283">
        <v>1</v>
      </c>
      <c r="G3578" s="283" t="s">
        <v>3711</v>
      </c>
      <c r="H3578" s="283" t="s">
        <v>3712</v>
      </c>
      <c r="I3578" s="283">
        <f>K3577</f>
        <v>759</v>
      </c>
      <c r="J3578" s="374" t="s">
        <v>3711</v>
      </c>
      <c r="K3578" s="283">
        <f>I3578*F3578</f>
        <v>759</v>
      </c>
      <c r="S3578" s="754">
        <v>2</v>
      </c>
      <c r="T3578" s="754" t="s">
        <v>769</v>
      </c>
      <c r="U3578" s="754" t="s">
        <v>3640</v>
      </c>
      <c r="V3578" s="754">
        <f t="shared" si="348"/>
        <v>23.1</v>
      </c>
      <c r="W3578" s="756" t="s">
        <v>769</v>
      </c>
      <c r="X3578" s="754">
        <f t="shared" si="349"/>
        <v>46.2</v>
      </c>
    </row>
    <row r="3579" spans="1:119" ht="35.1" customHeight="1">
      <c r="F3579" s="283">
        <v>2</v>
      </c>
      <c r="G3579" s="283" t="s">
        <v>1432</v>
      </c>
      <c r="H3579" s="283" t="s">
        <v>144</v>
      </c>
      <c r="I3579" s="283">
        <f>I2350</f>
        <v>651</v>
      </c>
      <c r="J3579" s="374" t="s">
        <v>1398</v>
      </c>
      <c r="K3579" s="283">
        <f>I3579*F3579</f>
        <v>1302</v>
      </c>
      <c r="S3579" s="754">
        <v>2</v>
      </c>
      <c r="T3579" s="754" t="s">
        <v>769</v>
      </c>
      <c r="U3579" s="754" t="s">
        <v>3641</v>
      </c>
      <c r="V3579" s="754">
        <f t="shared" si="348"/>
        <v>49.55</v>
      </c>
      <c r="W3579" s="756" t="s">
        <v>769</v>
      </c>
      <c r="X3579" s="754">
        <f t="shared" si="349"/>
        <v>99.1</v>
      </c>
    </row>
    <row r="3580" spans="1:119" ht="35.1" customHeight="1">
      <c r="H3580" s="283" t="s">
        <v>3713</v>
      </c>
      <c r="K3580" s="283">
        <v>10.3</v>
      </c>
      <c r="S3580" s="834">
        <v>0.73</v>
      </c>
      <c r="T3580" s="754" t="s">
        <v>609</v>
      </c>
      <c r="U3580" s="754" t="s">
        <v>3760</v>
      </c>
      <c r="V3580" s="754">
        <f t="shared" si="348"/>
        <v>233.74</v>
      </c>
      <c r="W3580" s="756" t="s">
        <v>609</v>
      </c>
      <c r="X3580" s="754"/>
    </row>
    <row r="3581" spans="1:119" ht="35.1" customHeight="1">
      <c r="H3581" s="283" t="s">
        <v>3715</v>
      </c>
      <c r="K3581" s="283">
        <f>SUM(K3578:K3580)</f>
        <v>2071.3000000000002</v>
      </c>
      <c r="S3581" s="754"/>
      <c r="T3581" s="754"/>
      <c r="U3581" s="754" t="s">
        <v>3753</v>
      </c>
      <c r="V3581" s="754"/>
      <c r="W3581" s="756"/>
      <c r="X3581" s="754">
        <f>SUM(X3571:X3580)</f>
        <v>8989.3799999999992</v>
      </c>
    </row>
    <row r="3582" spans="1:119" ht="35.1" customHeight="1">
      <c r="A3582" s="751"/>
      <c r="B3582" s="751"/>
      <c r="C3582" s="751"/>
      <c r="D3582" s="751"/>
      <c r="E3582" s="751"/>
      <c r="F3582" s="751"/>
      <c r="G3582" s="751"/>
      <c r="H3582" s="751" t="s">
        <v>3714</v>
      </c>
      <c r="I3582" s="751"/>
      <c r="J3582" s="745"/>
      <c r="K3582" s="751">
        <f>K3581/6</f>
        <v>345.22</v>
      </c>
      <c r="L3582" s="751"/>
      <c r="M3582" s="751"/>
      <c r="N3582" s="751"/>
      <c r="O3582" s="751"/>
      <c r="P3582" s="751"/>
      <c r="Q3582" s="751"/>
      <c r="R3582" s="751"/>
      <c r="S3582" s="754"/>
      <c r="T3582" s="754"/>
      <c r="U3582" s="754" t="s">
        <v>3225</v>
      </c>
      <c r="V3582" s="754"/>
      <c r="W3582" s="756"/>
      <c r="X3582" s="754">
        <f>X3581/S3572</f>
        <v>2757.48</v>
      </c>
      <c r="Y3582" s="751"/>
      <c r="Z3582" s="751"/>
      <c r="AA3582" s="751"/>
      <c r="AB3582" s="751"/>
      <c r="AC3582" s="751"/>
      <c r="AD3582" s="751"/>
      <c r="AE3582" s="751"/>
      <c r="AF3582" s="751"/>
      <c r="AG3582" s="751"/>
      <c r="AH3582" s="751"/>
      <c r="AI3582" s="751"/>
      <c r="AJ3582" s="751"/>
      <c r="AK3582" s="751"/>
      <c r="AL3582" s="751"/>
      <c r="AM3582" s="751"/>
      <c r="AN3582" s="751"/>
      <c r="AO3582" s="751"/>
      <c r="AP3582" s="751"/>
      <c r="AQ3582" s="751"/>
      <c r="AR3582" s="751"/>
      <c r="AS3582" s="751"/>
      <c r="AT3582" s="751"/>
      <c r="AU3582" s="751"/>
      <c r="AV3582" s="751"/>
      <c r="AW3582" s="751"/>
      <c r="AX3582" s="751"/>
      <c r="AY3582" s="751"/>
      <c r="AZ3582" s="751"/>
      <c r="BA3582" s="751"/>
      <c r="BB3582" s="751"/>
      <c r="BC3582" s="751"/>
      <c r="BD3582" s="751"/>
      <c r="BE3582" s="751"/>
      <c r="BF3582" s="751"/>
      <c r="BG3582" s="751"/>
      <c r="BH3582" s="751"/>
      <c r="BI3582" s="751"/>
      <c r="BJ3582" s="751"/>
      <c r="BK3582" s="751"/>
      <c r="BL3582" s="751"/>
      <c r="BM3582" s="751"/>
      <c r="BN3582" s="751"/>
      <c r="BO3582" s="751"/>
      <c r="BP3582" s="751"/>
      <c r="BQ3582" s="751"/>
      <c r="BR3582" s="751"/>
      <c r="BS3582" s="751"/>
      <c r="BT3582" s="751"/>
      <c r="BU3582" s="751"/>
      <c r="BV3582" s="751"/>
      <c r="BW3582" s="751"/>
      <c r="BX3582" s="751"/>
      <c r="BY3582" s="751"/>
      <c r="BZ3582" s="751"/>
      <c r="CA3582" s="751"/>
      <c r="CB3582" s="751"/>
      <c r="CC3582" s="751"/>
      <c r="CD3582" s="751"/>
      <c r="CE3582" s="751"/>
      <c r="CF3582" s="751"/>
      <c r="CG3582" s="751"/>
      <c r="CH3582" s="751"/>
      <c r="CI3582" s="751"/>
      <c r="CJ3582" s="751"/>
      <c r="CK3582" s="751"/>
      <c r="CL3582" s="751"/>
      <c r="CM3582" s="751"/>
      <c r="CN3582" s="751"/>
      <c r="CO3582" s="751"/>
      <c r="CP3582" s="751"/>
      <c r="CQ3582" s="751"/>
      <c r="CR3582" s="751"/>
      <c r="CS3582" s="751"/>
      <c r="CT3582" s="751"/>
      <c r="CU3582" s="751"/>
      <c r="CV3582" s="751"/>
      <c r="CW3582" s="751"/>
      <c r="CX3582" s="751"/>
      <c r="CY3582" s="751"/>
      <c r="CZ3582" s="751"/>
      <c r="DA3582" s="751"/>
      <c r="DB3582" s="751"/>
      <c r="DC3582" s="751"/>
      <c r="DD3582" s="751"/>
      <c r="DE3582" s="751"/>
      <c r="DF3582" s="751"/>
      <c r="DG3582" s="751"/>
      <c r="DH3582" s="751"/>
      <c r="DI3582" s="751"/>
      <c r="DJ3582" s="751"/>
      <c r="DK3582" s="751"/>
      <c r="DL3582" s="751"/>
      <c r="DM3582" s="751"/>
      <c r="DN3582" s="751"/>
      <c r="DO3582" s="751"/>
    </row>
    <row r="3583" spans="1:119" s="751" customFormat="1" ht="35.1" customHeight="1">
      <c r="A3583" s="283"/>
      <c r="B3583" s="283"/>
      <c r="C3583" s="283"/>
      <c r="D3583" s="283"/>
      <c r="E3583" s="283"/>
      <c r="F3583" s="283"/>
      <c r="G3583" s="283"/>
      <c r="H3583" s="751" t="s">
        <v>3716</v>
      </c>
      <c r="I3583" s="283"/>
      <c r="J3583" s="374"/>
      <c r="K3583" s="283"/>
      <c r="L3583" s="283"/>
      <c r="M3583" s="283"/>
      <c r="N3583" s="283"/>
      <c r="O3583" s="283"/>
      <c r="P3583" s="283"/>
      <c r="Q3583" s="283"/>
      <c r="R3583" s="283"/>
      <c r="S3583" s="746"/>
      <c r="T3583" s="283"/>
      <c r="U3583" s="283"/>
      <c r="V3583" s="283"/>
      <c r="W3583" s="744"/>
      <c r="X3583" s="283"/>
      <c r="Y3583" s="283"/>
      <c r="Z3583" s="283"/>
      <c r="AA3583" s="283"/>
      <c r="AB3583" s="283"/>
      <c r="AC3583" s="283"/>
      <c r="AD3583" s="283"/>
      <c r="AE3583" s="283"/>
      <c r="AF3583" s="283"/>
      <c r="AG3583" s="283"/>
      <c r="AH3583" s="283"/>
      <c r="AI3583" s="283"/>
      <c r="AJ3583" s="283"/>
      <c r="AK3583" s="283"/>
      <c r="AL3583" s="283"/>
      <c r="AM3583" s="283"/>
      <c r="AN3583" s="283"/>
      <c r="AO3583" s="283"/>
      <c r="AP3583" s="283"/>
      <c r="AQ3583" s="283"/>
      <c r="AR3583" s="283"/>
      <c r="AS3583" s="283"/>
      <c r="AT3583" s="283"/>
      <c r="AU3583" s="283"/>
      <c r="AV3583" s="283"/>
      <c r="AW3583" s="283"/>
      <c r="AX3583" s="283"/>
      <c r="AY3583" s="283"/>
      <c r="AZ3583" s="283"/>
      <c r="BA3583" s="283"/>
      <c r="BB3583" s="283"/>
      <c r="BC3583" s="283"/>
      <c r="BD3583" s="283"/>
      <c r="BE3583" s="283"/>
      <c r="BF3583" s="283"/>
      <c r="BG3583" s="283"/>
      <c r="BH3583" s="283"/>
      <c r="BI3583" s="283"/>
      <c r="BJ3583" s="283"/>
      <c r="BK3583" s="283"/>
      <c r="BL3583" s="283"/>
      <c r="BM3583" s="283"/>
      <c r="BN3583" s="283"/>
      <c r="BO3583" s="283"/>
      <c r="BP3583" s="283"/>
      <c r="BQ3583" s="283"/>
      <c r="BR3583" s="283"/>
      <c r="BS3583" s="283"/>
      <c r="BT3583" s="283"/>
      <c r="BU3583" s="283"/>
      <c r="BV3583" s="283"/>
      <c r="BW3583" s="283"/>
      <c r="BX3583" s="283"/>
      <c r="BY3583" s="283"/>
      <c r="BZ3583" s="283"/>
      <c r="CA3583" s="283"/>
      <c r="CB3583" s="283"/>
      <c r="CC3583" s="283"/>
      <c r="CD3583" s="283"/>
      <c r="CE3583" s="283"/>
      <c r="CF3583" s="283"/>
      <c r="CG3583" s="283"/>
      <c r="CH3583" s="283"/>
      <c r="CI3583" s="283"/>
      <c r="CJ3583" s="283"/>
      <c r="CK3583" s="283"/>
      <c r="CL3583" s="283"/>
      <c r="CM3583" s="283"/>
      <c r="CN3583" s="283"/>
      <c r="CO3583" s="283"/>
      <c r="CP3583" s="283"/>
      <c r="CQ3583" s="283"/>
      <c r="CR3583" s="283"/>
      <c r="CS3583" s="283"/>
      <c r="CT3583" s="283"/>
      <c r="CU3583" s="283"/>
      <c r="CV3583" s="283"/>
      <c r="CW3583" s="283"/>
      <c r="CX3583" s="283"/>
      <c r="CY3583" s="283"/>
      <c r="CZ3583" s="283"/>
      <c r="DA3583" s="283"/>
      <c r="DB3583" s="283"/>
      <c r="DC3583" s="283"/>
      <c r="DD3583" s="283"/>
      <c r="DE3583" s="283"/>
      <c r="DF3583" s="283"/>
      <c r="DG3583" s="283"/>
      <c r="DH3583" s="283"/>
      <c r="DI3583" s="283"/>
      <c r="DJ3583" s="283"/>
      <c r="DK3583" s="283"/>
      <c r="DL3583" s="283"/>
      <c r="DM3583" s="283"/>
      <c r="DN3583" s="283"/>
      <c r="DO3583" s="283"/>
    </row>
    <row r="3584" spans="1:119" ht="35.1" customHeight="1">
      <c r="F3584" s="283">
        <v>49</v>
      </c>
      <c r="G3584" s="283" t="s">
        <v>3440</v>
      </c>
      <c r="H3584" s="283" t="s">
        <v>3717</v>
      </c>
      <c r="I3584" s="283">
        <f>I3574</f>
        <v>33</v>
      </c>
      <c r="J3584" s="374" t="s">
        <v>2365</v>
      </c>
      <c r="K3584" s="283">
        <f>F3584*I3584</f>
        <v>1617</v>
      </c>
      <c r="S3584" s="754"/>
      <c r="T3584" s="754"/>
      <c r="U3584" s="754" t="s">
        <v>4083</v>
      </c>
      <c r="V3584" s="754"/>
      <c r="W3584" s="756"/>
    </row>
    <row r="3585" spans="1:119" ht="35.1" customHeight="1">
      <c r="F3585" s="283">
        <v>0.3</v>
      </c>
      <c r="G3585" s="283" t="s">
        <v>1341</v>
      </c>
      <c r="H3585" s="283" t="s">
        <v>3718</v>
      </c>
      <c r="I3585" s="283">
        <f>I3575</f>
        <v>17600</v>
      </c>
      <c r="J3585" s="374" t="s">
        <v>1341</v>
      </c>
      <c r="K3585" s="283">
        <f>F3585*I3585</f>
        <v>5280</v>
      </c>
      <c r="S3585" s="283"/>
      <c r="U3585" s="805" t="s">
        <v>4084</v>
      </c>
      <c r="V3585" s="754">
        <f>1.7*2.325</f>
        <v>3.95</v>
      </c>
      <c r="W3585" s="744"/>
    </row>
    <row r="3586" spans="1:119" ht="35.1" customHeight="1">
      <c r="H3586" s="751" t="s">
        <v>3719</v>
      </c>
      <c r="K3586" s="751">
        <f>SUM(K3584:K3585)</f>
        <v>6897</v>
      </c>
      <c r="S3586" s="754">
        <f>V3585</f>
        <v>3.95</v>
      </c>
      <c r="T3586" s="754" t="s">
        <v>609</v>
      </c>
      <c r="U3586" s="754" t="s">
        <v>3634</v>
      </c>
      <c r="V3586" s="754">
        <f>V3571</f>
        <v>2255</v>
      </c>
      <c r="W3586" s="756" t="s">
        <v>609</v>
      </c>
      <c r="X3586" s="754">
        <f>V3586*S3586</f>
        <v>8907.25</v>
      </c>
    </row>
    <row r="3587" spans="1:119" ht="35.1" customHeight="1">
      <c r="H3587" s="751" t="s">
        <v>3710</v>
      </c>
      <c r="K3587" s="751">
        <f>K3586/10</f>
        <v>689.7</v>
      </c>
      <c r="S3587" s="754">
        <f>S3586</f>
        <v>3.95</v>
      </c>
      <c r="T3587" s="754" t="s">
        <v>609</v>
      </c>
      <c r="U3587" s="754" t="s">
        <v>3635</v>
      </c>
      <c r="V3587" s="754">
        <f t="shared" ref="V3587:V3594" si="350">V3572</f>
        <v>0</v>
      </c>
      <c r="W3587" s="756" t="s">
        <v>609</v>
      </c>
      <c r="X3587" s="754">
        <f t="shared" ref="X3587:X3594" si="351">V3587*S3587</f>
        <v>0</v>
      </c>
    </row>
    <row r="3588" spans="1:119" ht="35.1" customHeight="1">
      <c r="F3588" s="283">
        <v>2</v>
      </c>
      <c r="G3588" s="283" t="s">
        <v>258</v>
      </c>
      <c r="H3588" s="283" t="s">
        <v>144</v>
      </c>
      <c r="I3588" s="283">
        <f>I3579</f>
        <v>651</v>
      </c>
      <c r="J3588" s="374" t="s">
        <v>258</v>
      </c>
      <c r="K3588" s="283">
        <f>F3588*I3588</f>
        <v>1302</v>
      </c>
      <c r="S3588" s="754">
        <v>4</v>
      </c>
      <c r="T3588" s="754" t="s">
        <v>769</v>
      </c>
      <c r="U3588" s="754" t="s">
        <v>3636</v>
      </c>
      <c r="V3588" s="754">
        <f t="shared" si="350"/>
        <v>57.65</v>
      </c>
      <c r="W3588" s="756" t="s">
        <v>769</v>
      </c>
      <c r="X3588" s="754">
        <f t="shared" si="351"/>
        <v>230.6</v>
      </c>
    </row>
    <row r="3589" spans="1:119" ht="35.1" customHeight="1">
      <c r="H3589" s="283" t="s">
        <v>3720</v>
      </c>
      <c r="K3589" s="283">
        <v>4.3499999999999996</v>
      </c>
      <c r="S3589" s="754">
        <v>8</v>
      </c>
      <c r="T3589" s="754" t="s">
        <v>769</v>
      </c>
      <c r="U3589" s="754" t="s">
        <v>3637</v>
      </c>
      <c r="V3589" s="754">
        <f t="shared" si="350"/>
        <v>89.6</v>
      </c>
      <c r="W3589" s="756" t="s">
        <v>769</v>
      </c>
      <c r="X3589" s="754">
        <f t="shared" si="351"/>
        <v>716.8</v>
      </c>
    </row>
    <row r="3590" spans="1:119" ht="35.1" customHeight="1">
      <c r="H3590" s="283" t="s">
        <v>3721</v>
      </c>
      <c r="K3590" s="283">
        <f>SUM(K3587:K3589)</f>
        <v>1996.05</v>
      </c>
      <c r="S3590" s="754">
        <v>4</v>
      </c>
      <c r="T3590" s="754" t="s">
        <v>769</v>
      </c>
      <c r="U3590" s="754" t="s">
        <v>3638</v>
      </c>
      <c r="V3590" s="754">
        <f t="shared" si="350"/>
        <v>64.8</v>
      </c>
      <c r="W3590" s="756" t="s">
        <v>769</v>
      </c>
      <c r="X3590" s="754">
        <f t="shared" si="351"/>
        <v>259.2</v>
      </c>
    </row>
    <row r="3591" spans="1:119" ht="35.1" customHeight="1">
      <c r="H3591" s="751" t="s">
        <v>3722</v>
      </c>
      <c r="I3591" s="751"/>
      <c r="J3591" s="745"/>
      <c r="K3591" s="751">
        <f>K3590/6</f>
        <v>332.68</v>
      </c>
      <c r="S3591" s="754">
        <v>1</v>
      </c>
      <c r="T3591" s="754" t="s">
        <v>769</v>
      </c>
      <c r="U3591" s="754" t="s">
        <v>2455</v>
      </c>
      <c r="V3591" s="754">
        <f t="shared" si="350"/>
        <v>181</v>
      </c>
      <c r="W3591" s="756" t="s">
        <v>769</v>
      </c>
      <c r="X3591" s="754">
        <f t="shared" si="351"/>
        <v>181</v>
      </c>
    </row>
    <row r="3592" spans="1:119" ht="35.1" customHeight="1">
      <c r="A3592" s="751"/>
      <c r="B3592" s="751"/>
      <c r="C3592" s="751"/>
      <c r="D3592" s="751"/>
      <c r="E3592" s="751"/>
      <c r="F3592" s="751"/>
      <c r="G3592" s="751"/>
      <c r="H3592" s="283" t="s">
        <v>3723</v>
      </c>
      <c r="K3592" s="283">
        <f>K3582</f>
        <v>345.22</v>
      </c>
      <c r="L3592" s="751"/>
      <c r="M3592" s="751"/>
      <c r="N3592" s="751"/>
      <c r="O3592" s="751"/>
      <c r="P3592" s="751"/>
      <c r="Q3592" s="751"/>
      <c r="R3592" s="751"/>
      <c r="S3592" s="754">
        <v>118</v>
      </c>
      <c r="T3592" s="754" t="s">
        <v>769</v>
      </c>
      <c r="U3592" s="754" t="s">
        <v>3639</v>
      </c>
      <c r="V3592" s="754">
        <f t="shared" si="350"/>
        <v>2.41</v>
      </c>
      <c r="W3592" s="756" t="s">
        <v>769</v>
      </c>
      <c r="X3592" s="754">
        <f t="shared" si="351"/>
        <v>284.38</v>
      </c>
      <c r="Z3592" s="751"/>
      <c r="AA3592" s="751"/>
      <c r="AB3592" s="751"/>
      <c r="AC3592" s="751"/>
      <c r="AD3592" s="751"/>
      <c r="AE3592" s="751"/>
      <c r="AF3592" s="751"/>
      <c r="AG3592" s="751"/>
      <c r="AH3592" s="751"/>
      <c r="AI3592" s="751"/>
      <c r="AJ3592" s="751"/>
      <c r="AK3592" s="751"/>
      <c r="AL3592" s="751"/>
      <c r="AM3592" s="751"/>
      <c r="AN3592" s="751"/>
      <c r="AO3592" s="751"/>
      <c r="AP3592" s="751"/>
      <c r="AQ3592" s="751"/>
      <c r="AR3592" s="751"/>
      <c r="AS3592" s="751"/>
      <c r="AT3592" s="751"/>
      <c r="AU3592" s="751"/>
      <c r="AV3592" s="751"/>
      <c r="AW3592" s="751"/>
      <c r="AX3592" s="751"/>
      <c r="AY3592" s="751"/>
      <c r="AZ3592" s="751"/>
      <c r="BA3592" s="751"/>
      <c r="BB3592" s="751"/>
      <c r="BC3592" s="751"/>
      <c r="BD3592" s="751"/>
      <c r="BE3592" s="751"/>
      <c r="BF3592" s="751"/>
      <c r="BG3592" s="751"/>
      <c r="BH3592" s="751"/>
      <c r="BI3592" s="751"/>
      <c r="BJ3592" s="751"/>
      <c r="BK3592" s="751"/>
      <c r="BL3592" s="751"/>
      <c r="BM3592" s="751"/>
      <c r="BN3592" s="751"/>
      <c r="BO3592" s="751"/>
      <c r="BP3592" s="751"/>
      <c r="BQ3592" s="751"/>
      <c r="BR3592" s="751"/>
      <c r="BS3592" s="751"/>
      <c r="BT3592" s="751"/>
      <c r="BU3592" s="751"/>
      <c r="BV3592" s="751"/>
      <c r="BW3592" s="751"/>
      <c r="BX3592" s="751"/>
      <c r="BY3592" s="751"/>
      <c r="BZ3592" s="751"/>
      <c r="CA3592" s="751"/>
      <c r="CB3592" s="751"/>
      <c r="CC3592" s="751"/>
      <c r="CD3592" s="751"/>
      <c r="CE3592" s="751"/>
      <c r="CF3592" s="751"/>
      <c r="CG3592" s="751"/>
      <c r="CH3592" s="751"/>
      <c r="CI3592" s="751"/>
      <c r="CJ3592" s="751"/>
      <c r="CK3592" s="751"/>
      <c r="CL3592" s="751"/>
      <c r="CM3592" s="751"/>
      <c r="CN3592" s="751"/>
      <c r="CO3592" s="751"/>
      <c r="CP3592" s="751"/>
      <c r="CQ3592" s="751"/>
      <c r="CR3592" s="751"/>
      <c r="CS3592" s="751"/>
      <c r="CT3592" s="751"/>
      <c r="CU3592" s="751"/>
      <c r="CV3592" s="751"/>
      <c r="CW3592" s="751"/>
      <c r="CX3592" s="751"/>
      <c r="CY3592" s="751"/>
      <c r="CZ3592" s="751"/>
      <c r="DA3592" s="751"/>
      <c r="DB3592" s="751"/>
      <c r="DC3592" s="751"/>
      <c r="DD3592" s="751"/>
      <c r="DE3592" s="751"/>
      <c r="DF3592" s="751"/>
      <c r="DG3592" s="751"/>
      <c r="DH3592" s="751"/>
      <c r="DI3592" s="751"/>
      <c r="DJ3592" s="751"/>
      <c r="DK3592" s="751"/>
      <c r="DL3592" s="751"/>
      <c r="DM3592" s="751"/>
      <c r="DN3592" s="751"/>
      <c r="DO3592" s="751"/>
    </row>
    <row r="3593" spans="1:119" s="751" customFormat="1" ht="35.1" customHeight="1">
      <c r="H3593" s="283" t="s">
        <v>3724</v>
      </c>
      <c r="I3593" s="283">
        <f>K3592</f>
        <v>345.22</v>
      </c>
      <c r="J3593" s="374">
        <f>K3591</f>
        <v>332.68</v>
      </c>
      <c r="K3593" s="283">
        <f>SUM(I3593:J3593)</f>
        <v>677.9</v>
      </c>
      <c r="S3593" s="754">
        <v>2</v>
      </c>
      <c r="T3593" s="754" t="s">
        <v>769</v>
      </c>
      <c r="U3593" s="754" t="s">
        <v>3640</v>
      </c>
      <c r="V3593" s="754">
        <f t="shared" si="350"/>
        <v>23.1</v>
      </c>
      <c r="W3593" s="756" t="s">
        <v>769</v>
      </c>
      <c r="X3593" s="754">
        <f t="shared" si="351"/>
        <v>46.2</v>
      </c>
      <c r="Y3593" s="283"/>
    </row>
    <row r="3594" spans="1:119" s="751" customFormat="1" ht="35.1" customHeight="1">
      <c r="H3594" s="283" t="s">
        <v>3725</v>
      </c>
      <c r="I3594" s="283">
        <f>K3593</f>
        <v>677.9</v>
      </c>
      <c r="J3594" s="374">
        <f>J3593</f>
        <v>332.68</v>
      </c>
      <c r="K3594" s="283">
        <f>SUM(I3594:J3594)</f>
        <v>1010.58</v>
      </c>
      <c r="S3594" s="754">
        <v>2</v>
      </c>
      <c r="T3594" s="754" t="s">
        <v>769</v>
      </c>
      <c r="U3594" s="754" t="s">
        <v>3641</v>
      </c>
      <c r="V3594" s="754">
        <f t="shared" si="350"/>
        <v>49.55</v>
      </c>
      <c r="W3594" s="756" t="s">
        <v>769</v>
      </c>
      <c r="X3594" s="754">
        <f t="shared" si="351"/>
        <v>99.1</v>
      </c>
      <c r="Y3594" s="283"/>
    </row>
    <row r="3595" spans="1:119" s="751" customFormat="1" ht="35.1" customHeight="1">
      <c r="H3595" s="283" t="s">
        <v>3726</v>
      </c>
      <c r="I3595" s="283">
        <f>K3594</f>
        <v>1010.58</v>
      </c>
      <c r="J3595" s="374">
        <f>J3594</f>
        <v>332.68</v>
      </c>
      <c r="K3595" s="283">
        <f>SUM(I3595:J3595)</f>
        <v>1343.26</v>
      </c>
      <c r="S3595" s="834"/>
      <c r="T3595" s="754"/>
      <c r="U3595" s="754"/>
      <c r="V3595" s="754"/>
      <c r="W3595" s="756" t="s">
        <v>609</v>
      </c>
      <c r="X3595" s="754">
        <f>V3595*S3595</f>
        <v>0</v>
      </c>
      <c r="Y3595" s="283"/>
    </row>
    <row r="3596" spans="1:119" s="751" customFormat="1" ht="35.1" customHeight="1">
      <c r="H3596" s="283" t="s">
        <v>3727</v>
      </c>
      <c r="I3596" s="283">
        <f>K3595</f>
        <v>1343.26</v>
      </c>
      <c r="J3596" s="374">
        <f>J3595</f>
        <v>332.68</v>
      </c>
      <c r="K3596" s="283">
        <f>SUM(I3596:J3596)</f>
        <v>1675.94</v>
      </c>
      <c r="S3596" s="754"/>
      <c r="T3596" s="754"/>
      <c r="U3596" s="754" t="s">
        <v>4085</v>
      </c>
      <c r="V3596" s="754"/>
      <c r="W3596" s="756"/>
      <c r="X3596" s="754">
        <f>SUM(X3586:X3595)</f>
        <v>10724.53</v>
      </c>
      <c r="Y3596" s="283"/>
    </row>
    <row r="3597" spans="1:119" s="751" customFormat="1" ht="35.1" customHeight="1">
      <c r="A3597" s="283"/>
      <c r="B3597" s="283"/>
      <c r="C3597" s="283"/>
      <c r="D3597" s="283"/>
      <c r="E3597" s="283"/>
      <c r="F3597" s="283"/>
      <c r="G3597" s="283"/>
      <c r="H3597" s="283"/>
      <c r="I3597" s="283"/>
      <c r="J3597" s="374"/>
      <c r="K3597" s="283"/>
      <c r="L3597" s="283"/>
      <c r="M3597" s="283"/>
      <c r="N3597" s="283"/>
      <c r="O3597" s="283"/>
      <c r="P3597" s="283"/>
      <c r="Q3597" s="283"/>
      <c r="R3597" s="283"/>
      <c r="S3597" s="754"/>
      <c r="T3597" s="754"/>
      <c r="U3597" s="754" t="s">
        <v>3225</v>
      </c>
      <c r="V3597" s="754"/>
      <c r="W3597" s="756"/>
      <c r="X3597" s="754">
        <f>X3596/S3587</f>
        <v>2715.07</v>
      </c>
      <c r="Y3597" s="283">
        <f>[3]Data!X3597</f>
        <v>213.6</v>
      </c>
      <c r="Z3597" s="283"/>
      <c r="AA3597" s="283"/>
      <c r="AB3597" s="283"/>
      <c r="AC3597" s="283"/>
      <c r="AD3597" s="283"/>
      <c r="AE3597" s="283"/>
      <c r="AF3597" s="283"/>
      <c r="AG3597" s="283"/>
      <c r="AH3597" s="283"/>
      <c r="AI3597" s="283"/>
      <c r="AJ3597" s="283"/>
      <c r="AK3597" s="283"/>
      <c r="AL3597" s="283"/>
      <c r="AM3597" s="283"/>
      <c r="AN3597" s="283"/>
      <c r="AO3597" s="283"/>
      <c r="AP3597" s="283"/>
      <c r="AQ3597" s="283"/>
      <c r="AR3597" s="283"/>
      <c r="AS3597" s="283"/>
      <c r="AT3597" s="283"/>
      <c r="AU3597" s="283"/>
      <c r="AV3597" s="283"/>
      <c r="AW3597" s="283"/>
      <c r="AX3597" s="283"/>
      <c r="AY3597" s="283"/>
      <c r="AZ3597" s="283"/>
      <c r="BA3597" s="283"/>
      <c r="BB3597" s="283"/>
      <c r="BC3597" s="283"/>
      <c r="BD3597" s="283"/>
      <c r="BE3597" s="283"/>
      <c r="BF3597" s="283"/>
      <c r="BG3597" s="283"/>
      <c r="BH3597" s="283"/>
      <c r="BI3597" s="283"/>
      <c r="BJ3597" s="283"/>
      <c r="BK3597" s="283"/>
      <c r="BL3597" s="283"/>
      <c r="BM3597" s="283"/>
      <c r="BN3597" s="283"/>
      <c r="BO3597" s="283"/>
      <c r="BP3597" s="283"/>
      <c r="BQ3597" s="283"/>
      <c r="BR3597" s="283"/>
      <c r="BS3597" s="283"/>
      <c r="BT3597" s="283"/>
      <c r="BU3597" s="283"/>
      <c r="BV3597" s="283"/>
      <c r="BW3597" s="283"/>
      <c r="BX3597" s="283"/>
      <c r="BY3597" s="283"/>
      <c r="BZ3597" s="283"/>
      <c r="CA3597" s="283"/>
      <c r="CB3597" s="283"/>
      <c r="CC3597" s="283"/>
      <c r="CD3597" s="283"/>
      <c r="CE3597" s="283"/>
      <c r="CF3597" s="283"/>
      <c r="CG3597" s="283"/>
      <c r="CH3597" s="283"/>
      <c r="CI3597" s="283"/>
      <c r="CJ3597" s="283"/>
      <c r="CK3597" s="283"/>
      <c r="CL3597" s="283"/>
      <c r="CM3597" s="283"/>
      <c r="CN3597" s="283"/>
      <c r="CO3597" s="283"/>
      <c r="CP3597" s="283"/>
      <c r="CQ3597" s="283"/>
      <c r="CR3597" s="283"/>
      <c r="CS3597" s="283"/>
      <c r="CT3597" s="283"/>
      <c r="CU3597" s="283"/>
      <c r="CV3597" s="283"/>
      <c r="CW3597" s="283"/>
      <c r="CX3597" s="283"/>
      <c r="CY3597" s="283"/>
      <c r="CZ3597" s="283"/>
      <c r="DA3597" s="283"/>
      <c r="DB3597" s="283"/>
      <c r="DC3597" s="283"/>
      <c r="DD3597" s="283"/>
      <c r="DE3597" s="283"/>
      <c r="DF3597" s="283"/>
      <c r="DG3597" s="283"/>
      <c r="DH3597" s="283"/>
      <c r="DI3597" s="283"/>
      <c r="DJ3597" s="283"/>
      <c r="DK3597" s="283"/>
      <c r="DL3597" s="283"/>
      <c r="DM3597" s="283"/>
      <c r="DN3597" s="283"/>
      <c r="DO3597" s="283"/>
    </row>
    <row r="3598" spans="1:119" ht="24" customHeight="1">
      <c r="F3598" s="744"/>
      <c r="G3598" s="283" t="s">
        <v>2251</v>
      </c>
      <c r="H3598" s="745" t="s">
        <v>3812</v>
      </c>
      <c r="L3598" s="374"/>
      <c r="S3598" s="283"/>
      <c r="U3598" s="754"/>
      <c r="W3598" s="744"/>
      <c r="X3598" s="754"/>
    </row>
    <row r="3599" spans="1:119" ht="24" customHeight="1">
      <c r="H3599" s="745" t="s">
        <v>3813</v>
      </c>
      <c r="L3599" s="374"/>
      <c r="W3599" s="744"/>
    </row>
    <row r="3600" spans="1:119" ht="24" customHeight="1">
      <c r="H3600" s="748" t="s">
        <v>1586</v>
      </c>
      <c r="L3600" s="374"/>
      <c r="W3600" s="744"/>
    </row>
    <row r="3601" spans="6:24" ht="24" customHeight="1">
      <c r="F3601" s="797">
        <v>7.0699999999999999E-2</v>
      </c>
      <c r="G3601" s="283" t="s">
        <v>1341</v>
      </c>
      <c r="H3601" s="374" t="s">
        <v>1342</v>
      </c>
      <c r="I3601" s="283">
        <f>I2815</f>
        <v>99400</v>
      </c>
      <c r="J3601" s="374" t="s">
        <v>869</v>
      </c>
      <c r="K3601" s="283">
        <f t="shared" ref="K3601:K3609" si="352">(F3601*I3601)</f>
        <v>7027.58</v>
      </c>
      <c r="L3601" s="374"/>
      <c r="S3601" s="754"/>
      <c r="T3601" s="754"/>
      <c r="U3601" s="754" t="s">
        <v>4086</v>
      </c>
      <c r="V3601" s="754"/>
      <c r="W3601" s="756"/>
    </row>
    <row r="3602" spans="6:24" ht="24" customHeight="1">
      <c r="F3602" s="797">
        <v>5.16</v>
      </c>
      <c r="G3602" s="283" t="s">
        <v>609</v>
      </c>
      <c r="H3602" s="374" t="s">
        <v>3814</v>
      </c>
      <c r="I3602" s="283">
        <f>AE58</f>
        <v>0</v>
      </c>
      <c r="J3602" s="374" t="s">
        <v>869</v>
      </c>
      <c r="K3602" s="283">
        <f t="shared" si="352"/>
        <v>0</v>
      </c>
      <c r="L3602" s="374"/>
      <c r="S3602" s="283"/>
      <c r="U3602" s="805" t="s">
        <v>4087</v>
      </c>
      <c r="V3602" s="754">
        <f>1.7*2.025</f>
        <v>3.44</v>
      </c>
      <c r="W3602" s="744"/>
    </row>
    <row r="3603" spans="6:24" ht="24" customHeight="1">
      <c r="F3603" s="797">
        <v>3.6659999999999999</v>
      </c>
      <c r="G3603" s="283" t="s">
        <v>609</v>
      </c>
      <c r="H3603" s="374" t="s">
        <v>3815</v>
      </c>
      <c r="I3603" s="283">
        <f>P1396</f>
        <v>306.89999999999998</v>
      </c>
      <c r="J3603" s="374" t="s">
        <v>609</v>
      </c>
      <c r="K3603" s="283">
        <f t="shared" si="352"/>
        <v>1125.0999999999999</v>
      </c>
      <c r="L3603" s="374"/>
      <c r="S3603" s="754">
        <f>V3602</f>
        <v>3.44</v>
      </c>
      <c r="T3603" s="754" t="s">
        <v>609</v>
      </c>
      <c r="U3603" s="754" t="s">
        <v>3634</v>
      </c>
      <c r="V3603" s="754">
        <f>V3586</f>
        <v>2255</v>
      </c>
      <c r="W3603" s="756" t="s">
        <v>609</v>
      </c>
      <c r="X3603" s="754">
        <f>V3603*S3603</f>
        <v>7757.2</v>
      </c>
    </row>
    <row r="3604" spans="6:24" ht="24" customHeight="1">
      <c r="F3604" s="283">
        <v>22.66</v>
      </c>
      <c r="G3604" s="283" t="s">
        <v>826</v>
      </c>
      <c r="H3604" s="374" t="s">
        <v>5893</v>
      </c>
      <c r="I3604" s="283">
        <v>15.45</v>
      </c>
      <c r="J3604" s="283" t="s">
        <v>826</v>
      </c>
      <c r="K3604" s="283">
        <f t="shared" si="352"/>
        <v>350.1</v>
      </c>
      <c r="L3604" s="374"/>
      <c r="S3604" s="754">
        <f>S3603</f>
        <v>3.44</v>
      </c>
      <c r="T3604" s="754" t="s">
        <v>609</v>
      </c>
      <c r="U3604" s="754" t="s">
        <v>3635</v>
      </c>
      <c r="V3604" s="754">
        <f t="shared" ref="V3604:V3611" si="353">V3587</f>
        <v>0</v>
      </c>
      <c r="W3604" s="756" t="s">
        <v>609</v>
      </c>
      <c r="X3604" s="754">
        <f t="shared" ref="X3604:X3611" si="354">V3604*S3604</f>
        <v>0</v>
      </c>
    </row>
    <row r="3605" spans="6:24" ht="24" customHeight="1">
      <c r="F3605" s="283">
        <v>15</v>
      </c>
      <c r="G3605" s="283" t="s">
        <v>868</v>
      </c>
      <c r="H3605" s="374" t="s">
        <v>1517</v>
      </c>
      <c r="I3605" s="283">
        <f>C280</f>
        <v>89.6</v>
      </c>
      <c r="J3605" s="374" t="s">
        <v>868</v>
      </c>
      <c r="K3605" s="283">
        <f>(F3604*I3605)</f>
        <v>2030.34</v>
      </c>
      <c r="L3605" s="374"/>
      <c r="S3605" s="754">
        <v>4</v>
      </c>
      <c r="T3605" s="754" t="s">
        <v>769</v>
      </c>
      <c r="U3605" s="754" t="s">
        <v>3636</v>
      </c>
      <c r="V3605" s="754">
        <f t="shared" si="353"/>
        <v>57.65</v>
      </c>
      <c r="W3605" s="756" t="s">
        <v>769</v>
      </c>
      <c r="X3605" s="754">
        <f t="shared" si="354"/>
        <v>230.6</v>
      </c>
    </row>
    <row r="3606" spans="6:24" ht="24" customHeight="1">
      <c r="F3606" s="283">
        <v>10</v>
      </c>
      <c r="G3606" s="283" t="s">
        <v>868</v>
      </c>
      <c r="H3606" s="374" t="s">
        <v>5894</v>
      </c>
      <c r="I3606" s="283">
        <v>82.25</v>
      </c>
      <c r="J3606" s="374" t="s">
        <v>868</v>
      </c>
      <c r="K3606" s="283">
        <f>(F3605*I3606)</f>
        <v>1233.75</v>
      </c>
      <c r="L3606" s="374"/>
      <c r="S3606" s="754">
        <v>6</v>
      </c>
      <c r="T3606" s="754" t="s">
        <v>769</v>
      </c>
      <c r="U3606" s="754" t="s">
        <v>3637</v>
      </c>
      <c r="V3606" s="754">
        <f t="shared" si="353"/>
        <v>89.6</v>
      </c>
      <c r="W3606" s="756" t="s">
        <v>769</v>
      </c>
      <c r="X3606" s="754">
        <f t="shared" si="354"/>
        <v>537.6</v>
      </c>
    </row>
    <row r="3607" spans="6:24" ht="24" customHeight="1">
      <c r="F3607" s="283">
        <v>5</v>
      </c>
      <c r="G3607" s="283" t="s">
        <v>868</v>
      </c>
      <c r="H3607" s="374" t="s">
        <v>3816</v>
      </c>
      <c r="I3607" s="283">
        <v>57.65</v>
      </c>
      <c r="J3607" s="374" t="s">
        <v>868</v>
      </c>
      <c r="K3607" s="283">
        <f>(F3608*I3607)</f>
        <v>288.25</v>
      </c>
      <c r="L3607" s="374"/>
      <c r="S3607" s="754">
        <v>4</v>
      </c>
      <c r="T3607" s="754" t="s">
        <v>769</v>
      </c>
      <c r="U3607" s="754" t="s">
        <v>3638</v>
      </c>
      <c r="V3607" s="754">
        <f t="shared" si="353"/>
        <v>64.8</v>
      </c>
      <c r="W3607" s="756" t="s">
        <v>769</v>
      </c>
      <c r="X3607" s="754">
        <f t="shared" si="354"/>
        <v>259.2</v>
      </c>
    </row>
    <row r="3608" spans="6:24" ht="24" customHeight="1">
      <c r="F3608" s="283">
        <v>5</v>
      </c>
      <c r="G3608" s="283" t="s">
        <v>868</v>
      </c>
      <c r="H3608" s="374" t="s">
        <v>2108</v>
      </c>
      <c r="I3608" s="283">
        <v>7.3</v>
      </c>
      <c r="J3608" s="374" t="s">
        <v>868</v>
      </c>
      <c r="K3608" s="283">
        <f>(F3606*I3608)</f>
        <v>73</v>
      </c>
      <c r="L3608" s="374"/>
      <c r="S3608" s="754">
        <v>1</v>
      </c>
      <c r="T3608" s="754" t="s">
        <v>769</v>
      </c>
      <c r="U3608" s="754" t="s">
        <v>2455</v>
      </c>
      <c r="V3608" s="754">
        <f t="shared" si="353"/>
        <v>181</v>
      </c>
      <c r="W3608" s="756" t="s">
        <v>769</v>
      </c>
      <c r="X3608" s="754">
        <f t="shared" si="354"/>
        <v>181</v>
      </c>
    </row>
    <row r="3609" spans="6:24" ht="24" customHeight="1">
      <c r="F3609" s="283">
        <v>10</v>
      </c>
      <c r="H3609" s="374" t="s">
        <v>1141</v>
      </c>
      <c r="I3609" s="283">
        <f>I3431</f>
        <v>2.41</v>
      </c>
      <c r="J3609" s="374" t="s">
        <v>868</v>
      </c>
      <c r="K3609" s="283">
        <f t="shared" si="352"/>
        <v>24.1</v>
      </c>
      <c r="L3609" s="374"/>
      <c r="S3609" s="754">
        <v>118</v>
      </c>
      <c r="T3609" s="754" t="s">
        <v>769</v>
      </c>
      <c r="U3609" s="754" t="s">
        <v>3639</v>
      </c>
      <c r="V3609" s="754">
        <f t="shared" si="353"/>
        <v>2.41</v>
      </c>
      <c r="W3609" s="756" t="s">
        <v>769</v>
      </c>
      <c r="X3609" s="754">
        <f t="shared" si="354"/>
        <v>284.38</v>
      </c>
    </row>
    <row r="3610" spans="6:24" ht="24" customHeight="1">
      <c r="K3610" s="748" t="s">
        <v>1586</v>
      </c>
      <c r="L3610" s="374"/>
      <c r="S3610" s="754">
        <v>2</v>
      </c>
      <c r="T3610" s="754" t="s">
        <v>769</v>
      </c>
      <c r="U3610" s="754" t="s">
        <v>3640</v>
      </c>
      <c r="V3610" s="754">
        <f t="shared" si="353"/>
        <v>23.1</v>
      </c>
      <c r="W3610" s="756" t="s">
        <v>769</v>
      </c>
      <c r="X3610" s="754">
        <f t="shared" si="354"/>
        <v>46.2</v>
      </c>
    </row>
    <row r="3611" spans="6:24" ht="24" customHeight="1">
      <c r="H3611" s="744" t="s">
        <v>3817</v>
      </c>
      <c r="K3611" s="283">
        <f>SUM(K3597:K3609)</f>
        <v>12152.22</v>
      </c>
      <c r="L3611" s="374"/>
      <c r="S3611" s="754">
        <v>2</v>
      </c>
      <c r="T3611" s="754" t="s">
        <v>769</v>
      </c>
      <c r="U3611" s="754" t="s">
        <v>3641</v>
      </c>
      <c r="V3611" s="754">
        <f t="shared" si="353"/>
        <v>49.55</v>
      </c>
      <c r="W3611" s="756" t="s">
        <v>769</v>
      </c>
      <c r="X3611" s="754">
        <f t="shared" si="354"/>
        <v>99.1</v>
      </c>
    </row>
    <row r="3612" spans="6:24" ht="24" customHeight="1">
      <c r="K3612" s="748" t="s">
        <v>1586</v>
      </c>
      <c r="L3612" s="374"/>
      <c r="S3612" s="834"/>
      <c r="T3612" s="754"/>
      <c r="U3612" s="754"/>
      <c r="V3612" s="754"/>
      <c r="W3612" s="756" t="s">
        <v>609</v>
      </c>
      <c r="X3612" s="754">
        <f>V3612*S3612</f>
        <v>0</v>
      </c>
    </row>
    <row r="3613" spans="6:24" ht="24" customHeight="1">
      <c r="H3613" s="757" t="s">
        <v>552</v>
      </c>
      <c r="I3613" s="374" t="s">
        <v>975</v>
      </c>
      <c r="K3613" s="751">
        <f>K3611/F3602</f>
        <v>2355.08</v>
      </c>
      <c r="S3613" s="754"/>
      <c r="T3613" s="754"/>
      <c r="U3613" s="754" t="s">
        <v>4088</v>
      </c>
      <c r="V3613" s="754"/>
      <c r="W3613" s="756"/>
      <c r="X3613" s="754">
        <f>SUM(X3603:X3612)</f>
        <v>9395.2800000000007</v>
      </c>
    </row>
    <row r="3614" spans="6:24" ht="24" customHeight="1">
      <c r="K3614" s="748" t="s">
        <v>2055</v>
      </c>
      <c r="S3614" s="754"/>
      <c r="T3614" s="754"/>
      <c r="U3614" s="754" t="s">
        <v>3225</v>
      </c>
      <c r="V3614" s="754"/>
      <c r="W3614" s="756"/>
      <c r="X3614" s="754">
        <f>X3613/S3604</f>
        <v>2731.19</v>
      </c>
    </row>
    <row r="3615" spans="6:24" ht="24" customHeight="1">
      <c r="F3615" s="744" t="s">
        <v>1615</v>
      </c>
      <c r="G3615" s="283" t="s">
        <v>2251</v>
      </c>
      <c r="H3615" s="374" t="s">
        <v>3831</v>
      </c>
      <c r="S3615" s="283"/>
      <c r="W3615" s="744"/>
    </row>
    <row r="3616" spans="6:24" ht="24" customHeight="1">
      <c r="H3616" s="374" t="s">
        <v>3832</v>
      </c>
      <c r="S3616" s="754"/>
      <c r="T3616" s="754"/>
      <c r="U3616" s="754" t="s">
        <v>5353</v>
      </c>
      <c r="V3616" s="754"/>
      <c r="W3616" s="756"/>
    </row>
    <row r="3617" spans="6:30" ht="24" customHeight="1">
      <c r="H3617" s="748" t="s">
        <v>1586</v>
      </c>
      <c r="S3617" s="283"/>
      <c r="U3617" s="805" t="s">
        <v>4638</v>
      </c>
      <c r="W3617" s="744">
        <f>1.1*2.025</f>
        <v>2.23</v>
      </c>
      <c r="Y3617" s="754"/>
      <c r="Z3617" s="754"/>
      <c r="AA3617" s="754" t="s">
        <v>5969</v>
      </c>
      <c r="AB3617" s="754"/>
      <c r="AC3617" s="752"/>
    </row>
    <row r="3618" spans="6:30" ht="18.75" customHeight="1">
      <c r="H3618" s="374" t="s">
        <v>3833</v>
      </c>
      <c r="I3618" s="784" t="s">
        <v>2055</v>
      </c>
      <c r="J3618" s="847">
        <f>0.65*0.65</f>
        <v>0.42249999999999999</v>
      </c>
      <c r="K3618" s="283" t="s">
        <v>2283</v>
      </c>
      <c r="S3618" s="754">
        <f>W3617</f>
        <v>2.23</v>
      </c>
      <c r="T3618" s="754" t="s">
        <v>609</v>
      </c>
      <c r="U3618" s="754" t="s">
        <v>3634</v>
      </c>
      <c r="V3618" s="754">
        <f>AE3555</f>
        <v>2255</v>
      </c>
      <c r="W3618" s="756" t="s">
        <v>609</v>
      </c>
      <c r="X3618" s="754">
        <f>V3618*S3618</f>
        <v>5028.6499999999996</v>
      </c>
      <c r="AA3618" s="805" t="s">
        <v>5970</v>
      </c>
      <c r="AC3618" s="374">
        <f>0.65*2.025</f>
        <v>1.32</v>
      </c>
    </row>
    <row r="3619" spans="6:30" ht="18.75" customHeight="1">
      <c r="H3619" s="374"/>
      <c r="I3619" s="784"/>
      <c r="J3619" s="803"/>
      <c r="S3619" s="754">
        <f>S3618</f>
        <v>2.23</v>
      </c>
      <c r="T3619" s="754" t="s">
        <v>609</v>
      </c>
      <c r="U3619" s="754" t="s">
        <v>3635</v>
      </c>
      <c r="V3619" s="754">
        <f>V3604</f>
        <v>0</v>
      </c>
      <c r="W3619" s="756" t="s">
        <v>609</v>
      </c>
      <c r="X3619" s="754">
        <f t="shared" ref="X3619:X3626" si="355">V3619*S3619</f>
        <v>0</v>
      </c>
      <c r="Y3619" s="754">
        <f>AC3618</f>
        <v>1.32</v>
      </c>
      <c r="Z3619" s="754" t="s">
        <v>609</v>
      </c>
      <c r="AA3619" s="754" t="s">
        <v>3634</v>
      </c>
      <c r="AB3619" s="754">
        <f>V3619</f>
        <v>0</v>
      </c>
      <c r="AC3619" s="754" t="s">
        <v>609</v>
      </c>
      <c r="AD3619" s="754">
        <f>AB3619*Y3619</f>
        <v>0</v>
      </c>
    </row>
    <row r="3620" spans="6:30" ht="18.75" customHeight="1">
      <c r="H3620" s="374" t="s">
        <v>6143</v>
      </c>
      <c r="I3620" s="784" t="s">
        <v>2055</v>
      </c>
      <c r="J3620" s="847">
        <v>5.1999999999999998E-2</v>
      </c>
      <c r="K3620" s="283" t="s">
        <v>2151</v>
      </c>
      <c r="S3620" s="754">
        <v>4</v>
      </c>
      <c r="T3620" s="754" t="s">
        <v>769</v>
      </c>
      <c r="U3620" s="754" t="s">
        <v>3636</v>
      </c>
      <c r="V3620" s="754">
        <f t="shared" ref="V3620:V3626" si="356">AE3557</f>
        <v>57.65</v>
      </c>
      <c r="W3620" s="756" t="s">
        <v>769</v>
      </c>
      <c r="X3620" s="754">
        <f t="shared" si="355"/>
        <v>230.6</v>
      </c>
      <c r="Y3620" s="754">
        <f>Y3619</f>
        <v>1.32</v>
      </c>
      <c r="Z3620" s="754" t="s">
        <v>609</v>
      </c>
      <c r="AA3620" s="754" t="s">
        <v>3635</v>
      </c>
      <c r="AB3620" s="754">
        <f t="shared" ref="AB3620:AB3627" si="357">V3620</f>
        <v>57.65</v>
      </c>
      <c r="AC3620" s="754" t="s">
        <v>609</v>
      </c>
      <c r="AD3620" s="754">
        <f t="shared" ref="AD3620:AD3628" si="358">AB3620*Y3620</f>
        <v>76.099999999999994</v>
      </c>
    </row>
    <row r="3621" spans="6:30" ht="18.75" customHeight="1">
      <c r="H3621" s="374" t="s">
        <v>3259</v>
      </c>
      <c r="J3621" s="784"/>
      <c r="S3621" s="754">
        <v>6</v>
      </c>
      <c r="T3621" s="754" t="s">
        <v>769</v>
      </c>
      <c r="U3621" s="754" t="s">
        <v>3637</v>
      </c>
      <c r="V3621" s="754">
        <f t="shared" si="356"/>
        <v>89.6</v>
      </c>
      <c r="W3621" s="756" t="s">
        <v>769</v>
      </c>
      <c r="X3621" s="754">
        <f t="shared" si="355"/>
        <v>537.6</v>
      </c>
      <c r="Y3621" s="754">
        <v>2</v>
      </c>
      <c r="Z3621" s="754" t="s">
        <v>769</v>
      </c>
      <c r="AA3621" s="754" t="s">
        <v>3636</v>
      </c>
      <c r="AB3621" s="754">
        <f t="shared" si="357"/>
        <v>89.6</v>
      </c>
      <c r="AC3621" s="754" t="s">
        <v>769</v>
      </c>
      <c r="AD3621" s="754">
        <f t="shared" si="358"/>
        <v>179.2</v>
      </c>
    </row>
    <row r="3622" spans="6:30" ht="18.75" customHeight="1">
      <c r="H3622" s="374" t="s">
        <v>3834</v>
      </c>
      <c r="I3622" s="784" t="s">
        <v>2055</v>
      </c>
      <c r="J3622" s="871">
        <v>1.772E-2</v>
      </c>
      <c r="S3622" s="754">
        <v>4</v>
      </c>
      <c r="T3622" s="754" t="s">
        <v>769</v>
      </c>
      <c r="U3622" s="754" t="s">
        <v>3638</v>
      </c>
      <c r="V3622" s="754">
        <f t="shared" si="356"/>
        <v>64.8</v>
      </c>
      <c r="W3622" s="756" t="s">
        <v>769</v>
      </c>
      <c r="X3622" s="754">
        <f t="shared" si="355"/>
        <v>259.2</v>
      </c>
      <c r="Y3622" s="754">
        <v>3</v>
      </c>
      <c r="Z3622" s="754" t="s">
        <v>769</v>
      </c>
      <c r="AA3622" s="754" t="s">
        <v>3637</v>
      </c>
      <c r="AB3622" s="754">
        <f t="shared" si="357"/>
        <v>64.8</v>
      </c>
      <c r="AC3622" s="754" t="s">
        <v>769</v>
      </c>
      <c r="AD3622" s="754">
        <f t="shared" si="358"/>
        <v>194.4</v>
      </c>
    </row>
    <row r="3623" spans="6:30" ht="18.75" customHeight="1">
      <c r="H3623" s="748"/>
      <c r="S3623" s="754">
        <v>1</v>
      </c>
      <c r="T3623" s="754" t="s">
        <v>769</v>
      </c>
      <c r="U3623" s="754" t="s">
        <v>2455</v>
      </c>
      <c r="V3623" s="754">
        <f t="shared" si="356"/>
        <v>181</v>
      </c>
      <c r="W3623" s="756" t="s">
        <v>769</v>
      </c>
      <c r="X3623" s="754">
        <f t="shared" si="355"/>
        <v>181</v>
      </c>
      <c r="Y3623" s="754">
        <v>2</v>
      </c>
      <c r="Z3623" s="754" t="s">
        <v>769</v>
      </c>
      <c r="AA3623" s="754" t="s">
        <v>3638</v>
      </c>
      <c r="AB3623" s="754">
        <f t="shared" si="357"/>
        <v>181</v>
      </c>
      <c r="AC3623" s="754" t="s">
        <v>769</v>
      </c>
      <c r="AD3623" s="754">
        <f t="shared" si="358"/>
        <v>362</v>
      </c>
    </row>
    <row r="3624" spans="6:30" ht="18.75" customHeight="1">
      <c r="F3624" s="797">
        <v>5.3E-3</v>
      </c>
      <c r="G3624" s="283" t="s">
        <v>1341</v>
      </c>
      <c r="H3624" s="374" t="s">
        <v>1342</v>
      </c>
      <c r="I3624" s="283">
        <f>I3601</f>
        <v>99400</v>
      </c>
      <c r="J3624" s="374" t="s">
        <v>869</v>
      </c>
      <c r="K3624" s="283">
        <f t="shared" ref="K3624:K3630" si="359">(F3624*I3624)</f>
        <v>526.82000000000005</v>
      </c>
      <c r="S3624" s="754">
        <v>118</v>
      </c>
      <c r="T3624" s="754" t="s">
        <v>769</v>
      </c>
      <c r="U3624" s="754" t="s">
        <v>3639</v>
      </c>
      <c r="V3624" s="754">
        <f t="shared" si="356"/>
        <v>2.41</v>
      </c>
      <c r="W3624" s="756" t="s">
        <v>769</v>
      </c>
      <c r="X3624" s="754">
        <f t="shared" si="355"/>
        <v>284.38</v>
      </c>
      <c r="Y3624" s="754">
        <v>1</v>
      </c>
      <c r="Z3624" s="754" t="s">
        <v>769</v>
      </c>
      <c r="AA3624" s="754" t="s">
        <v>2455</v>
      </c>
      <c r="AB3624" s="754">
        <f t="shared" si="357"/>
        <v>2.41</v>
      </c>
      <c r="AC3624" s="754" t="s">
        <v>769</v>
      </c>
      <c r="AD3624" s="754">
        <f t="shared" si="358"/>
        <v>2.41</v>
      </c>
    </row>
    <row r="3625" spans="6:30" ht="24" customHeight="1">
      <c r="F3625" s="797">
        <v>0.27450000000000002</v>
      </c>
      <c r="G3625" s="283" t="s">
        <v>609</v>
      </c>
      <c r="H3625" s="374" t="str">
        <f>H3603</f>
        <v>4 mm thicj frosted glass</v>
      </c>
      <c r="I3625" s="283">
        <f>I3603</f>
        <v>306.89999999999998</v>
      </c>
      <c r="J3625" s="374" t="s">
        <v>869</v>
      </c>
      <c r="K3625" s="283">
        <f t="shared" si="359"/>
        <v>84.24</v>
      </c>
      <c r="S3625" s="754">
        <v>2</v>
      </c>
      <c r="T3625" s="754" t="s">
        <v>769</v>
      </c>
      <c r="U3625" s="754" t="s">
        <v>3640</v>
      </c>
      <c r="V3625" s="754">
        <f t="shared" si="356"/>
        <v>23.1</v>
      </c>
      <c r="W3625" s="756" t="s">
        <v>769</v>
      </c>
      <c r="X3625" s="754">
        <f t="shared" si="355"/>
        <v>46.2</v>
      </c>
      <c r="Y3625" s="754">
        <v>92</v>
      </c>
      <c r="Z3625" s="754" t="s">
        <v>769</v>
      </c>
      <c r="AA3625" s="754" t="s">
        <v>3639</v>
      </c>
      <c r="AB3625" s="754">
        <f t="shared" si="357"/>
        <v>23.1</v>
      </c>
      <c r="AC3625" s="754" t="s">
        <v>769</v>
      </c>
      <c r="AD3625" s="754">
        <f t="shared" si="358"/>
        <v>2125.1999999999998</v>
      </c>
    </row>
    <row r="3626" spans="6:30" ht="24" customHeight="1">
      <c r="F3626" s="797">
        <v>0.4</v>
      </c>
      <c r="G3626" s="283" t="s">
        <v>609</v>
      </c>
      <c r="H3626" s="374" t="s">
        <v>2092</v>
      </c>
      <c r="I3626" s="283">
        <f>AE34</f>
        <v>1197</v>
      </c>
      <c r="J3626" s="374" t="s">
        <v>609</v>
      </c>
      <c r="K3626" s="283">
        <f t="shared" si="359"/>
        <v>478.8</v>
      </c>
      <c r="S3626" s="754">
        <v>2</v>
      </c>
      <c r="T3626" s="754" t="s">
        <v>769</v>
      </c>
      <c r="U3626" s="754" t="s">
        <v>3641</v>
      </c>
      <c r="V3626" s="754">
        <f t="shared" si="356"/>
        <v>49.55</v>
      </c>
      <c r="W3626" s="756" t="s">
        <v>769</v>
      </c>
      <c r="X3626" s="754">
        <f t="shared" si="355"/>
        <v>99.1</v>
      </c>
      <c r="Y3626" s="754">
        <v>1</v>
      </c>
      <c r="Z3626" s="754" t="s">
        <v>769</v>
      </c>
      <c r="AA3626" s="754" t="s">
        <v>3640</v>
      </c>
      <c r="AB3626" s="754">
        <f t="shared" si="357"/>
        <v>49.55</v>
      </c>
      <c r="AC3626" s="754" t="s">
        <v>769</v>
      </c>
      <c r="AD3626" s="754">
        <f t="shared" si="358"/>
        <v>49.55</v>
      </c>
    </row>
    <row r="3627" spans="6:30" ht="24" customHeight="1">
      <c r="F3627" s="283">
        <v>2</v>
      </c>
      <c r="G3627" s="283" t="s">
        <v>1995</v>
      </c>
      <c r="H3627" s="374" t="s">
        <v>1996</v>
      </c>
      <c r="I3627" s="283">
        <v>148</v>
      </c>
      <c r="J3627" s="374" t="s">
        <v>1995</v>
      </c>
      <c r="K3627" s="283">
        <f t="shared" si="359"/>
        <v>296</v>
      </c>
      <c r="S3627" s="834"/>
      <c r="T3627" s="754" t="s">
        <v>609</v>
      </c>
      <c r="U3627" s="754"/>
      <c r="W3627" s="756" t="s">
        <v>609</v>
      </c>
      <c r="X3627" s="754">
        <f>V3626*S3627</f>
        <v>0</v>
      </c>
      <c r="Y3627" s="754">
        <v>1</v>
      </c>
      <c r="Z3627" s="754" t="s">
        <v>769</v>
      </c>
      <c r="AA3627" s="754" t="s">
        <v>3641</v>
      </c>
      <c r="AB3627" s="754">
        <f t="shared" si="357"/>
        <v>0</v>
      </c>
      <c r="AC3627" s="754" t="s">
        <v>769</v>
      </c>
      <c r="AD3627" s="754">
        <f t="shared" si="358"/>
        <v>0</v>
      </c>
    </row>
    <row r="3628" spans="6:30" ht="24" customHeight="1">
      <c r="F3628" s="283">
        <v>1</v>
      </c>
      <c r="G3628" s="283" t="s">
        <v>868</v>
      </c>
      <c r="H3628" s="374" t="s">
        <v>1997</v>
      </c>
      <c r="I3628" s="283">
        <f>C294</f>
        <v>6.1</v>
      </c>
      <c r="J3628" s="374" t="s">
        <v>868</v>
      </c>
      <c r="K3628" s="283">
        <f t="shared" si="359"/>
        <v>6.1</v>
      </c>
      <c r="S3628" s="754"/>
      <c r="T3628" s="754"/>
      <c r="U3628" s="754" t="s">
        <v>3643</v>
      </c>
      <c r="V3628" s="754"/>
      <c r="W3628" s="756"/>
      <c r="X3628" s="754">
        <f>SUM(X3618:X3627)</f>
        <v>6666.73</v>
      </c>
      <c r="Y3628" s="834">
        <v>0.35</v>
      </c>
      <c r="Z3628" s="754" t="s">
        <v>609</v>
      </c>
      <c r="AA3628" s="754"/>
      <c r="AC3628" s="754" t="s">
        <v>609</v>
      </c>
      <c r="AD3628" s="754">
        <f t="shared" si="358"/>
        <v>0</v>
      </c>
    </row>
    <row r="3629" spans="6:30" ht="24" customHeight="1">
      <c r="F3629" s="283">
        <v>1</v>
      </c>
      <c r="G3629" s="283" t="s">
        <v>868</v>
      </c>
      <c r="H3629" s="374" t="s">
        <v>1998</v>
      </c>
      <c r="I3629" s="283">
        <f>C292</f>
        <v>11.8</v>
      </c>
      <c r="J3629" s="374" t="s">
        <v>868</v>
      </c>
      <c r="K3629" s="283">
        <f t="shared" si="359"/>
        <v>11.8</v>
      </c>
      <c r="S3629" s="754"/>
      <c r="T3629" s="754"/>
      <c r="U3629" s="754" t="s">
        <v>3225</v>
      </c>
      <c r="V3629" s="754"/>
      <c r="W3629" s="756"/>
      <c r="X3629" s="754">
        <f>X3628/S3619</f>
        <v>2989.57</v>
      </c>
      <c r="Y3629" s="754"/>
      <c r="Z3629" s="754"/>
      <c r="AA3629" s="754" t="s">
        <v>3643</v>
      </c>
      <c r="AB3629" s="754"/>
      <c r="AC3629" s="752"/>
      <c r="AD3629" s="754">
        <f>SUM(AD3619:AD3628)</f>
        <v>2988.86</v>
      </c>
    </row>
    <row r="3630" spans="6:30" ht="24" customHeight="1">
      <c r="F3630" s="283">
        <v>10</v>
      </c>
      <c r="H3630" s="374" t="s">
        <v>1141</v>
      </c>
      <c r="I3630" s="283">
        <f>I3609</f>
        <v>2.41</v>
      </c>
      <c r="J3630" s="374" t="s">
        <v>868</v>
      </c>
      <c r="K3630" s="283">
        <f t="shared" si="359"/>
        <v>24.1</v>
      </c>
      <c r="W3630" s="744"/>
      <c r="Y3630" s="754"/>
      <c r="Z3630" s="754"/>
      <c r="AA3630" s="754" t="s">
        <v>3225</v>
      </c>
      <c r="AB3630" s="754"/>
      <c r="AC3630" s="752"/>
      <c r="AD3630" s="754">
        <f>AD3629/Y3620</f>
        <v>2264.29</v>
      </c>
    </row>
    <row r="3631" spans="6:30" ht="24" customHeight="1">
      <c r="K3631" s="748" t="s">
        <v>1586</v>
      </c>
      <c r="S3631" s="283"/>
      <c r="U3631" s="745" t="s">
        <v>1741</v>
      </c>
      <c r="W3631" s="744"/>
    </row>
    <row r="3632" spans="6:30" ht="24" customHeight="1">
      <c r="H3632" s="744" t="s">
        <v>34</v>
      </c>
      <c r="K3632" s="283">
        <f>SUM(K3614:K3630)</f>
        <v>1427.86</v>
      </c>
      <c r="S3632" s="283"/>
      <c r="U3632" s="757" t="s">
        <v>3915</v>
      </c>
      <c r="W3632" s="744"/>
    </row>
    <row r="3633" spans="6:24" ht="24" customHeight="1">
      <c r="K3633" s="748" t="s">
        <v>1586</v>
      </c>
      <c r="S3633" s="283"/>
      <c r="W3633" s="744"/>
    </row>
    <row r="3634" spans="6:24" ht="24" customHeight="1">
      <c r="H3634" s="757" t="s">
        <v>552</v>
      </c>
      <c r="I3634" s="374" t="s">
        <v>975</v>
      </c>
      <c r="K3634" s="751">
        <f>K3632/F3626</f>
        <v>3569.65</v>
      </c>
      <c r="S3634" s="283"/>
      <c r="W3634" s="744"/>
    </row>
    <row r="3635" spans="6:24" ht="24" customHeight="1">
      <c r="F3635" s="374" t="s">
        <v>975</v>
      </c>
      <c r="S3635" s="783">
        <v>2.2800000000000001E-2</v>
      </c>
      <c r="T3635" s="283" t="s">
        <v>869</v>
      </c>
      <c r="U3635" s="283" t="s">
        <v>3124</v>
      </c>
      <c r="V3635" s="283">
        <f>P1112</f>
        <v>111600</v>
      </c>
      <c r="W3635" s="744" t="s">
        <v>869</v>
      </c>
      <c r="X3635" s="283">
        <f>V3635*S3635</f>
        <v>2544.48</v>
      </c>
    </row>
    <row r="3636" spans="6:24" ht="24" customHeight="1">
      <c r="K3636" s="748" t="s">
        <v>2055</v>
      </c>
      <c r="S3636" s="783">
        <v>3.5400000000000001E-2</v>
      </c>
      <c r="T3636" s="283" t="s">
        <v>869</v>
      </c>
      <c r="U3636" s="283" t="s">
        <v>2488</v>
      </c>
      <c r="V3636" s="283">
        <f>P1113</f>
        <v>99400</v>
      </c>
      <c r="W3636" s="744" t="s">
        <v>869</v>
      </c>
      <c r="X3636" s="283">
        <f t="shared" ref="X3636:X3645" si="360">V3636*S3636</f>
        <v>3518.76</v>
      </c>
    </row>
    <row r="3637" spans="6:24" ht="24" customHeight="1">
      <c r="F3637" s="283">
        <v>45</v>
      </c>
      <c r="H3637" s="882" t="s">
        <v>3987</v>
      </c>
      <c r="I3637" s="882"/>
      <c r="J3637" s="882"/>
      <c r="S3637" s="782">
        <v>3.2300000000000002E-2</v>
      </c>
      <c r="T3637" s="283" t="s">
        <v>869</v>
      </c>
      <c r="U3637" s="283" t="s">
        <v>937</v>
      </c>
      <c r="V3637" s="283">
        <f>P1114</f>
        <v>95000</v>
      </c>
      <c r="W3637" s="744" t="s">
        <v>869</v>
      </c>
      <c r="X3637" s="283">
        <f t="shared" si="360"/>
        <v>3068.5</v>
      </c>
    </row>
    <row r="3638" spans="6:24" ht="24" customHeight="1">
      <c r="H3638" s="882"/>
      <c r="I3638" s="882"/>
      <c r="J3638" s="882"/>
      <c r="S3638" s="746">
        <v>2.835</v>
      </c>
      <c r="T3638" s="283" t="s">
        <v>609</v>
      </c>
      <c r="U3638" s="283" t="s">
        <v>883</v>
      </c>
      <c r="V3638" s="283">
        <f>P1115</f>
        <v>1537</v>
      </c>
      <c r="W3638" s="744" t="s">
        <v>609</v>
      </c>
      <c r="X3638" s="283">
        <f t="shared" si="360"/>
        <v>4357.3999999999996</v>
      </c>
    </row>
    <row r="3639" spans="6:24" ht="24" customHeight="1">
      <c r="S3639" s="283">
        <v>2</v>
      </c>
      <c r="T3639" s="283" t="s">
        <v>1873</v>
      </c>
      <c r="U3639" s="283" t="s">
        <v>3736</v>
      </c>
      <c r="V3639" s="283">
        <v>254.5</v>
      </c>
      <c r="W3639" s="744" t="s">
        <v>1398</v>
      </c>
      <c r="X3639" s="283">
        <f t="shared" si="360"/>
        <v>509</v>
      </c>
    </row>
    <row r="3640" spans="6:24" ht="24" customHeight="1">
      <c r="F3640" s="883">
        <v>0.15</v>
      </c>
      <c r="G3640" s="883" t="s">
        <v>869</v>
      </c>
      <c r="H3640" s="770" t="s">
        <v>5895</v>
      </c>
      <c r="I3640" s="883">
        <f>91.1/0.0354</f>
        <v>2573.4499999999998</v>
      </c>
      <c r="J3640" s="281" t="s">
        <v>869</v>
      </c>
      <c r="K3640" s="883">
        <f t="shared" ref="K3640:K3645" si="361">I3640*F3640</f>
        <v>386.02</v>
      </c>
      <c r="L3640" s="883"/>
      <c r="S3640" s="283">
        <v>6</v>
      </c>
      <c r="T3640" s="283" t="s">
        <v>1873</v>
      </c>
      <c r="U3640" s="283" t="s">
        <v>3737</v>
      </c>
      <c r="V3640" s="283">
        <v>214.1</v>
      </c>
      <c r="W3640" s="744" t="s">
        <v>1398</v>
      </c>
      <c r="X3640" s="283">
        <f t="shared" si="360"/>
        <v>1284.5999999999999</v>
      </c>
    </row>
    <row r="3641" spans="6:24" ht="33" customHeight="1">
      <c r="F3641" s="783">
        <v>7.1999999999999995E-2</v>
      </c>
      <c r="G3641" s="283" t="s">
        <v>861</v>
      </c>
      <c r="H3641" s="283" t="s">
        <v>862</v>
      </c>
      <c r="I3641" s="283">
        <f>I1646</f>
        <v>6040</v>
      </c>
      <c r="J3641" s="374" t="s">
        <v>861</v>
      </c>
      <c r="K3641" s="283">
        <f t="shared" si="361"/>
        <v>434.88</v>
      </c>
      <c r="S3641" s="283">
        <v>4</v>
      </c>
      <c r="T3641" s="283" t="s">
        <v>1873</v>
      </c>
      <c r="U3641" s="283" t="s">
        <v>3738</v>
      </c>
      <c r="V3641" s="283">
        <v>408</v>
      </c>
      <c r="W3641" s="744" t="s">
        <v>1398</v>
      </c>
      <c r="X3641" s="283">
        <f t="shared" si="360"/>
        <v>1632</v>
      </c>
    </row>
    <row r="3642" spans="6:24" ht="24" customHeight="1">
      <c r="F3642" s="283">
        <v>1.6</v>
      </c>
      <c r="G3642" s="283" t="s">
        <v>769</v>
      </c>
      <c r="H3642" s="283" t="s">
        <v>2009</v>
      </c>
      <c r="I3642" s="283">
        <f>I1647</f>
        <v>999</v>
      </c>
      <c r="J3642" s="374" t="s">
        <v>769</v>
      </c>
      <c r="K3642" s="283">
        <f t="shared" si="361"/>
        <v>1598.4</v>
      </c>
      <c r="S3642" s="283">
        <v>1</v>
      </c>
      <c r="T3642" s="283" t="s">
        <v>1873</v>
      </c>
      <c r="U3642" s="283" t="s">
        <v>3739</v>
      </c>
      <c r="V3642" s="283">
        <v>985</v>
      </c>
      <c r="W3642" s="744" t="s">
        <v>1398</v>
      </c>
      <c r="X3642" s="283">
        <f t="shared" si="360"/>
        <v>985</v>
      </c>
    </row>
    <row r="3643" spans="6:24" ht="24" customHeight="1">
      <c r="F3643" s="283">
        <v>0.5</v>
      </c>
      <c r="G3643" s="283" t="s">
        <v>769</v>
      </c>
      <c r="H3643" s="283" t="s">
        <v>1902</v>
      </c>
      <c r="I3643" s="283">
        <f>I1648</f>
        <v>651</v>
      </c>
      <c r="J3643" s="374" t="s">
        <v>769</v>
      </c>
      <c r="K3643" s="283">
        <f t="shared" si="361"/>
        <v>325.5</v>
      </c>
      <c r="S3643" s="283">
        <v>2</v>
      </c>
      <c r="T3643" s="283" t="s">
        <v>1873</v>
      </c>
      <c r="U3643" s="283" t="s">
        <v>3731</v>
      </c>
      <c r="V3643" s="283">
        <v>23.1</v>
      </c>
      <c r="W3643" s="744" t="s">
        <v>1398</v>
      </c>
      <c r="X3643" s="283">
        <f t="shared" si="360"/>
        <v>46.2</v>
      </c>
    </row>
    <row r="3644" spans="6:24" ht="24" customHeight="1">
      <c r="F3644" s="283">
        <v>1.1000000000000001</v>
      </c>
      <c r="G3644" s="283" t="s">
        <v>769</v>
      </c>
      <c r="H3644" s="283" t="s">
        <v>320</v>
      </c>
      <c r="I3644" s="283">
        <f>I1649</f>
        <v>534</v>
      </c>
      <c r="J3644" s="374" t="s">
        <v>769</v>
      </c>
      <c r="K3644" s="283">
        <f t="shared" si="361"/>
        <v>587.4</v>
      </c>
      <c r="S3644" s="283">
        <v>2</v>
      </c>
      <c r="T3644" s="283" t="s">
        <v>1873</v>
      </c>
      <c r="U3644" s="283" t="s">
        <v>1982</v>
      </c>
      <c r="V3644" s="283">
        <v>49.55</v>
      </c>
      <c r="W3644" s="744" t="s">
        <v>1398</v>
      </c>
      <c r="X3644" s="283">
        <f t="shared" si="360"/>
        <v>99.1</v>
      </c>
    </row>
    <row r="3645" spans="6:24" ht="24" customHeight="1">
      <c r="F3645" s="283">
        <v>14.5</v>
      </c>
      <c r="G3645" s="283" t="s">
        <v>359</v>
      </c>
      <c r="H3645" s="283" t="s">
        <v>3988</v>
      </c>
      <c r="I3645" s="283">
        <f>I3748</f>
        <v>24.93</v>
      </c>
      <c r="J3645" s="374" t="s">
        <v>359</v>
      </c>
      <c r="K3645" s="283">
        <f t="shared" si="361"/>
        <v>361.49</v>
      </c>
      <c r="S3645" s="283">
        <v>118</v>
      </c>
      <c r="T3645" s="751"/>
      <c r="U3645" s="283" t="s">
        <v>1141</v>
      </c>
      <c r="V3645" s="283">
        <v>2.41</v>
      </c>
      <c r="W3645" s="744"/>
      <c r="X3645" s="283">
        <f t="shared" si="360"/>
        <v>284.38</v>
      </c>
    </row>
    <row r="3646" spans="6:24" ht="24" customHeight="1">
      <c r="G3646" s="283" t="s">
        <v>657</v>
      </c>
      <c r="H3646" s="283" t="s">
        <v>450</v>
      </c>
      <c r="J3646" s="374" t="s">
        <v>657</v>
      </c>
      <c r="K3646" s="283">
        <v>7</v>
      </c>
      <c r="S3646" s="283"/>
      <c r="W3646" s="744"/>
      <c r="X3646" s="751">
        <f>SUM(X3635:X3645)</f>
        <v>18329.419999999998</v>
      </c>
    </row>
    <row r="3647" spans="6:24" ht="24" customHeight="1">
      <c r="S3647" s="283"/>
      <c r="T3647" s="751"/>
      <c r="U3647" s="751"/>
      <c r="W3647" s="744"/>
      <c r="X3647" s="785" t="s">
        <v>146</v>
      </c>
    </row>
    <row r="3648" spans="6:24" ht="24" customHeight="1">
      <c r="H3648" s="283" t="s">
        <v>441</v>
      </c>
      <c r="K3648" s="283">
        <f>SUM(K3640:K3647)</f>
        <v>3700.69</v>
      </c>
      <c r="S3648" s="283"/>
      <c r="T3648" s="751"/>
      <c r="U3648" s="751" t="s">
        <v>2082</v>
      </c>
      <c r="W3648" s="744"/>
      <c r="X3648" s="751">
        <f>X3646/2.835</f>
        <v>6465.4</v>
      </c>
    </row>
    <row r="3649" spans="6:33" ht="24" customHeight="1">
      <c r="H3649" s="283" t="s">
        <v>552</v>
      </c>
      <c r="K3649" s="283">
        <f>K3648/10</f>
        <v>370.07</v>
      </c>
      <c r="S3649" s="283"/>
      <c r="T3649" s="751"/>
      <c r="W3649" s="744"/>
      <c r="X3649" s="785" t="s">
        <v>146</v>
      </c>
      <c r="AB3649" s="996" t="s">
        <v>5730</v>
      </c>
      <c r="AC3649" s="996"/>
      <c r="AD3649" s="996"/>
      <c r="AE3649" s="996"/>
      <c r="AF3649" s="996"/>
      <c r="AG3649" s="996"/>
    </row>
    <row r="3650" spans="6:33" ht="24" customHeight="1">
      <c r="S3650" s="283"/>
      <c r="W3650" s="744"/>
      <c r="AB3650" s="996"/>
      <c r="AC3650" s="996"/>
      <c r="AD3650" s="996"/>
      <c r="AE3650" s="996"/>
      <c r="AF3650" s="996"/>
      <c r="AG3650" s="996"/>
    </row>
    <row r="3651" spans="6:33" ht="24" customHeight="1">
      <c r="K3651" s="283" t="s">
        <v>2055</v>
      </c>
      <c r="S3651" s="811" t="s">
        <v>4119</v>
      </c>
      <c r="T3651" s="811"/>
      <c r="U3651" s="811"/>
      <c r="V3651" s="811"/>
      <c r="W3651" s="808"/>
      <c r="X3651" s="808"/>
      <c r="Y3651" s="805"/>
      <c r="AB3651" s="807"/>
      <c r="AC3651" s="805"/>
      <c r="AD3651" s="808"/>
      <c r="AE3651" s="805"/>
      <c r="AF3651" s="805"/>
      <c r="AG3651" s="805"/>
    </row>
    <row r="3652" spans="6:33" ht="24" customHeight="1">
      <c r="S3652" s="807"/>
      <c r="T3652" s="805"/>
      <c r="U3652" s="808"/>
      <c r="V3652" s="805"/>
      <c r="W3652" s="810"/>
      <c r="X3652" s="805"/>
      <c r="Y3652" s="805"/>
      <c r="AB3652" s="807"/>
      <c r="AC3652" s="805"/>
      <c r="AD3652" s="809"/>
      <c r="AE3652" s="805"/>
      <c r="AF3652" s="805"/>
      <c r="AG3652" s="805"/>
    </row>
    <row r="3653" spans="6:33" ht="24" customHeight="1">
      <c r="H3653" s="757" t="s">
        <v>3823</v>
      </c>
      <c r="J3653" s="283"/>
      <c r="S3653" s="807"/>
      <c r="T3653" s="805"/>
      <c r="U3653" s="809"/>
      <c r="V3653" s="805"/>
      <c r="W3653" s="810"/>
      <c r="X3653" s="805"/>
      <c r="Y3653" s="805"/>
      <c r="AB3653" s="807">
        <v>38.86</v>
      </c>
      <c r="AC3653" s="805" t="s">
        <v>913</v>
      </c>
      <c r="AD3653" s="884" t="s">
        <v>4121</v>
      </c>
      <c r="AE3653" s="805">
        <f>V3654</f>
        <v>325</v>
      </c>
      <c r="AF3653" s="805" t="s">
        <v>913</v>
      </c>
      <c r="AG3653" s="805">
        <f>AE3653*AB3653</f>
        <v>12629.5</v>
      </c>
    </row>
    <row r="3654" spans="6:33" ht="24" customHeight="1">
      <c r="H3654" s="748" t="s">
        <v>1586</v>
      </c>
      <c r="J3654" s="283"/>
      <c r="S3654" s="807">
        <v>28.49</v>
      </c>
      <c r="T3654" s="805" t="s">
        <v>913</v>
      </c>
      <c r="U3654" s="884" t="s">
        <v>4121</v>
      </c>
      <c r="V3654" s="805">
        <f>I3782</f>
        <v>325</v>
      </c>
      <c r="W3654" s="810" t="s">
        <v>913</v>
      </c>
      <c r="X3654" s="805">
        <f>V3654*S3654</f>
        <v>9259.25</v>
      </c>
      <c r="Y3654" s="805"/>
      <c r="AB3654" s="885">
        <v>34.65</v>
      </c>
      <c r="AC3654" s="805" t="s">
        <v>826</v>
      </c>
      <c r="AD3654" s="809" t="s">
        <v>4327</v>
      </c>
      <c r="AE3654" s="805">
        <f>V3655</f>
        <v>38.25</v>
      </c>
      <c r="AF3654" s="805" t="s">
        <v>826</v>
      </c>
      <c r="AG3654" s="805">
        <f t="shared" ref="AG3654:AG3661" si="362">AE3654*AB3654</f>
        <v>1325.36</v>
      </c>
    </row>
    <row r="3655" spans="6:33" ht="24" customHeight="1">
      <c r="G3655" s="374" t="s">
        <v>2251</v>
      </c>
      <c r="H3655" s="745" t="s">
        <v>3824</v>
      </c>
      <c r="J3655" s="283"/>
      <c r="S3655" s="885">
        <v>3.82</v>
      </c>
      <c r="T3655" s="805" t="s">
        <v>826</v>
      </c>
      <c r="U3655" s="809" t="s">
        <v>5896</v>
      </c>
      <c r="V3655" s="805">
        <v>38.25</v>
      </c>
      <c r="W3655" s="810" t="s">
        <v>826</v>
      </c>
      <c r="X3655" s="805">
        <v>501.66</v>
      </c>
      <c r="Y3655" s="805"/>
      <c r="AB3655" s="807">
        <v>2.4300000000000002</v>
      </c>
      <c r="AC3655" s="805" t="s">
        <v>233</v>
      </c>
      <c r="AD3655" s="809" t="s">
        <v>4038</v>
      </c>
      <c r="AE3655" s="805">
        <f>V3656</f>
        <v>362.5</v>
      </c>
      <c r="AF3655" s="805" t="s">
        <v>233</v>
      </c>
      <c r="AG3655" s="805">
        <f t="shared" si="362"/>
        <v>880.88</v>
      </c>
    </row>
    <row r="3656" spans="6:33" ht="24" customHeight="1">
      <c r="H3656" s="745" t="s">
        <v>3825</v>
      </c>
      <c r="J3656" s="283"/>
      <c r="S3656" s="807">
        <v>1.52</v>
      </c>
      <c r="T3656" s="805" t="s">
        <v>233</v>
      </c>
      <c r="U3656" s="809" t="s">
        <v>4038</v>
      </c>
      <c r="V3656" s="805">
        <v>362.5</v>
      </c>
      <c r="W3656" s="810" t="s">
        <v>233</v>
      </c>
      <c r="X3656" s="805">
        <f t="shared" ref="X3656:X3665" si="363">V3656*S3656</f>
        <v>551</v>
      </c>
      <c r="Y3656" s="805"/>
      <c r="AB3656" s="807">
        <v>4.8499999999999996</v>
      </c>
      <c r="AC3656" s="805" t="s">
        <v>233</v>
      </c>
      <c r="AD3656" s="809" t="s">
        <v>4039</v>
      </c>
      <c r="AE3656" s="805">
        <f>V3657</f>
        <v>695</v>
      </c>
      <c r="AF3656" s="805" t="s">
        <v>769</v>
      </c>
      <c r="AG3656" s="805">
        <f t="shared" si="362"/>
        <v>3370.75</v>
      </c>
    </row>
    <row r="3657" spans="6:33" ht="24" customHeight="1">
      <c r="H3657" s="745" t="s">
        <v>153</v>
      </c>
      <c r="J3657" s="283"/>
      <c r="S3657" s="807">
        <v>1.52</v>
      </c>
      <c r="T3657" s="805" t="s">
        <v>233</v>
      </c>
      <c r="U3657" s="809" t="s">
        <v>4039</v>
      </c>
      <c r="V3657" s="805">
        <v>695</v>
      </c>
      <c r="W3657" s="810" t="s">
        <v>769</v>
      </c>
      <c r="X3657" s="805">
        <f t="shared" si="363"/>
        <v>1056.4000000000001</v>
      </c>
      <c r="Y3657" s="805"/>
      <c r="AB3657" s="754">
        <v>144</v>
      </c>
      <c r="AC3657" s="754" t="s">
        <v>1873</v>
      </c>
      <c r="AD3657" s="754" t="s">
        <v>5897</v>
      </c>
      <c r="AE3657" s="805">
        <v>2.41</v>
      </c>
      <c r="AF3657" s="752" t="s">
        <v>1394</v>
      </c>
      <c r="AG3657" s="805">
        <f>AE3657*AB3657</f>
        <v>347.04</v>
      </c>
    </row>
    <row r="3658" spans="6:33" ht="24" customHeight="1">
      <c r="H3658" s="748" t="s">
        <v>1586</v>
      </c>
      <c r="J3658" s="283"/>
      <c r="S3658" s="807">
        <v>3</v>
      </c>
      <c r="T3658" s="805" t="s">
        <v>222</v>
      </c>
      <c r="U3658" s="809" t="s">
        <v>5898</v>
      </c>
      <c r="V3658" s="805">
        <v>11.9</v>
      </c>
      <c r="W3658" s="810" t="s">
        <v>222</v>
      </c>
      <c r="X3658" s="805">
        <f t="shared" si="363"/>
        <v>35.700000000000003</v>
      </c>
      <c r="Y3658" s="805"/>
      <c r="AB3658" s="754">
        <v>12</v>
      </c>
      <c r="AC3658" s="754" t="s">
        <v>1873</v>
      </c>
      <c r="AD3658" s="754" t="s">
        <v>5899</v>
      </c>
      <c r="AE3658" s="805">
        <v>4.88</v>
      </c>
      <c r="AF3658" s="752" t="s">
        <v>1394</v>
      </c>
      <c r="AG3658" s="805">
        <f>AE3658*AB3658</f>
        <v>58.56</v>
      </c>
    </row>
    <row r="3659" spans="6:33" ht="24" customHeight="1">
      <c r="G3659" s="374" t="s">
        <v>154</v>
      </c>
      <c r="H3659" s="886" t="s">
        <v>3826</v>
      </c>
      <c r="J3659" s="283"/>
      <c r="S3659" s="807">
        <v>4.2</v>
      </c>
      <c r="T3659" s="805" t="s">
        <v>1398</v>
      </c>
      <c r="U3659" s="809" t="s">
        <v>5354</v>
      </c>
      <c r="V3659" s="805">
        <v>7.95</v>
      </c>
      <c r="W3659" s="810" t="s">
        <v>769</v>
      </c>
      <c r="X3659" s="805">
        <f t="shared" si="363"/>
        <v>33.39</v>
      </c>
      <c r="Y3659" s="805"/>
      <c r="AB3659" s="754">
        <v>12</v>
      </c>
      <c r="AC3659" s="754" t="s">
        <v>1873</v>
      </c>
      <c r="AD3659" s="754" t="s">
        <v>5731</v>
      </c>
      <c r="AE3659" s="805">
        <v>1.08</v>
      </c>
      <c r="AF3659" s="752" t="s">
        <v>1394</v>
      </c>
      <c r="AG3659" s="805">
        <f>AE3659*AB3659</f>
        <v>12.96</v>
      </c>
    </row>
    <row r="3660" spans="6:33" ht="24" customHeight="1">
      <c r="H3660" s="748" t="s">
        <v>1586</v>
      </c>
      <c r="J3660" s="283"/>
      <c r="S3660" s="807">
        <v>3.15</v>
      </c>
      <c r="T3660" s="805" t="s">
        <v>2283</v>
      </c>
      <c r="U3660" s="809" t="s">
        <v>3922</v>
      </c>
      <c r="V3660" s="805">
        <f>X3676</f>
        <v>1998</v>
      </c>
      <c r="W3660" s="810" t="s">
        <v>2283</v>
      </c>
      <c r="X3660" s="805">
        <f t="shared" si="363"/>
        <v>6293.7</v>
      </c>
      <c r="Y3660" s="805"/>
      <c r="AB3660" s="807">
        <v>2</v>
      </c>
      <c r="AC3660" s="805" t="s">
        <v>222</v>
      </c>
      <c r="AD3660" s="809" t="s">
        <v>4122</v>
      </c>
      <c r="AE3660" s="805">
        <f>V3658</f>
        <v>11.9</v>
      </c>
      <c r="AF3660" s="805" t="s">
        <v>222</v>
      </c>
      <c r="AG3660" s="805">
        <f t="shared" si="362"/>
        <v>23.8</v>
      </c>
    </row>
    <row r="3661" spans="6:33" ht="24" customHeight="1">
      <c r="F3661" s="283">
        <v>18.899999999999999</v>
      </c>
      <c r="G3661" s="374" t="s">
        <v>869</v>
      </c>
      <c r="H3661" s="374" t="s">
        <v>617</v>
      </c>
      <c r="I3661" s="283">
        <f>P432</f>
        <v>224.1</v>
      </c>
      <c r="J3661" s="374" t="s">
        <v>869</v>
      </c>
      <c r="K3661" s="283">
        <f>(F3661*I3661)</f>
        <v>4235.49</v>
      </c>
      <c r="S3661" s="751">
        <v>1</v>
      </c>
      <c r="T3661" s="751" t="s">
        <v>1873</v>
      </c>
      <c r="U3661" s="751" t="s">
        <v>5355</v>
      </c>
      <c r="V3661" s="751">
        <v>49.55</v>
      </c>
      <c r="W3661" s="757" t="s">
        <v>1398</v>
      </c>
      <c r="X3661" s="751">
        <f t="shared" si="363"/>
        <v>49.55</v>
      </c>
      <c r="Y3661" s="805"/>
      <c r="AB3661" s="807">
        <v>6.6150000000000002</v>
      </c>
      <c r="AC3661" s="805" t="s">
        <v>2283</v>
      </c>
      <c r="AD3661" s="809" t="s">
        <v>3922</v>
      </c>
      <c r="AE3661" s="805">
        <f>V3660</f>
        <v>1998</v>
      </c>
      <c r="AF3661" s="805" t="s">
        <v>2283</v>
      </c>
      <c r="AG3661" s="805">
        <f t="shared" si="362"/>
        <v>13216.77</v>
      </c>
    </row>
    <row r="3662" spans="6:33" ht="24" customHeight="1">
      <c r="F3662" s="283">
        <v>18.63</v>
      </c>
      <c r="G3662" s="374" t="s">
        <v>869</v>
      </c>
      <c r="H3662" s="374" t="s">
        <v>2157</v>
      </c>
      <c r="I3662" s="283">
        <f>P433</f>
        <v>38.950000000000003</v>
      </c>
      <c r="J3662" s="374" t="s">
        <v>869</v>
      </c>
      <c r="K3662" s="283">
        <f>(F3662*I3662)</f>
        <v>725.64</v>
      </c>
      <c r="S3662" s="751">
        <v>1</v>
      </c>
      <c r="T3662" s="751" t="s">
        <v>1873</v>
      </c>
      <c r="U3662" s="751" t="s">
        <v>4123</v>
      </c>
      <c r="V3662" s="751">
        <v>1008</v>
      </c>
      <c r="W3662" s="757" t="s">
        <v>1398</v>
      </c>
      <c r="X3662" s="751">
        <f t="shared" si="363"/>
        <v>1008</v>
      </c>
      <c r="Y3662" s="805"/>
      <c r="AB3662" s="807"/>
      <c r="AC3662" s="805"/>
      <c r="AD3662" s="374" t="s">
        <v>4042</v>
      </c>
      <c r="AE3662" s="805"/>
      <c r="AF3662" s="805"/>
      <c r="AG3662" s="811">
        <f>SUM(AG3653:AG3661)</f>
        <v>31865.62</v>
      </c>
    </row>
    <row r="3663" spans="6:33" ht="40.5" customHeight="1">
      <c r="F3663" s="283">
        <v>30</v>
      </c>
      <c r="G3663" s="374" t="s">
        <v>1771</v>
      </c>
      <c r="H3663" s="775" t="s">
        <v>5961</v>
      </c>
      <c r="I3663" s="751">
        <v>288</v>
      </c>
      <c r="J3663" s="374" t="s">
        <v>1771</v>
      </c>
      <c r="K3663" s="283">
        <f>(F3663*I3663)</f>
        <v>8640</v>
      </c>
      <c r="S3663" s="754">
        <v>45</v>
      </c>
      <c r="T3663" s="754" t="s">
        <v>1873</v>
      </c>
      <c r="U3663" s="754" t="s">
        <v>5356</v>
      </c>
      <c r="V3663" s="754">
        <v>2.21</v>
      </c>
      <c r="W3663" s="756" t="s">
        <v>1394</v>
      </c>
      <c r="X3663" s="805">
        <f t="shared" si="363"/>
        <v>99.45</v>
      </c>
      <c r="Y3663" s="805"/>
      <c r="AB3663" s="807"/>
      <c r="AC3663" s="805"/>
      <c r="AD3663" s="374" t="s">
        <v>552</v>
      </c>
      <c r="AE3663" s="805"/>
      <c r="AF3663" s="808"/>
      <c r="AG3663" s="811">
        <f>AG3662/AB3661</f>
        <v>4817.18</v>
      </c>
    </row>
    <row r="3664" spans="6:33" ht="45.75" customHeight="1">
      <c r="J3664" s="283"/>
      <c r="S3664" s="754">
        <v>2</v>
      </c>
      <c r="T3664" s="754" t="s">
        <v>1873</v>
      </c>
      <c r="U3664" s="754" t="s">
        <v>6033</v>
      </c>
      <c r="V3664" s="754">
        <v>130.5</v>
      </c>
      <c r="W3664" s="757" t="s">
        <v>1398</v>
      </c>
      <c r="X3664" s="805">
        <f t="shared" si="363"/>
        <v>261</v>
      </c>
      <c r="Y3664" s="805"/>
      <c r="AB3664" s="805"/>
      <c r="AC3664" s="805"/>
      <c r="AD3664" s="813"/>
      <c r="AE3664" s="805"/>
      <c r="AF3664" s="805"/>
      <c r="AG3664" s="805"/>
    </row>
    <row r="3665" spans="6:33" ht="24" customHeight="1">
      <c r="F3665" s="283">
        <v>30</v>
      </c>
      <c r="G3665" s="374" t="s">
        <v>1771</v>
      </c>
      <c r="H3665" s="374" t="s">
        <v>2158</v>
      </c>
      <c r="I3665" s="283">
        <v>19.100000000000001</v>
      </c>
      <c r="J3665" s="374" t="s">
        <v>1771</v>
      </c>
      <c r="K3665" s="283">
        <f>(F3665*I3665)</f>
        <v>573</v>
      </c>
      <c r="S3665" s="754">
        <v>2</v>
      </c>
      <c r="T3665" s="754" t="s">
        <v>1873</v>
      </c>
      <c r="U3665" s="754" t="s">
        <v>6034</v>
      </c>
      <c r="V3665" s="754">
        <v>64.8</v>
      </c>
      <c r="W3665" s="757" t="s">
        <v>1398</v>
      </c>
      <c r="X3665" s="805">
        <f t="shared" si="363"/>
        <v>129.6</v>
      </c>
      <c r="Y3665" s="805"/>
      <c r="AB3665" s="805">
        <v>1</v>
      </c>
      <c r="AC3665" s="805" t="s">
        <v>868</v>
      </c>
      <c r="AD3665" s="809" t="s">
        <v>6114</v>
      </c>
      <c r="AE3665" s="805">
        <f>V3671</f>
        <v>881</v>
      </c>
      <c r="AF3665" s="809" t="s">
        <v>868</v>
      </c>
      <c r="AG3665" s="805">
        <f>AE3665*AB3665</f>
        <v>881</v>
      </c>
    </row>
    <row r="3666" spans="6:33" ht="24" customHeight="1">
      <c r="H3666" s="374" t="s">
        <v>2159</v>
      </c>
      <c r="J3666" s="283"/>
      <c r="S3666" s="283"/>
      <c r="W3666" s="744"/>
      <c r="X3666" s="746"/>
      <c r="Y3666" s="805"/>
      <c r="AB3666" s="805">
        <v>1</v>
      </c>
      <c r="AC3666" s="805" t="s">
        <v>868</v>
      </c>
      <c r="AD3666" s="809" t="s">
        <v>6115</v>
      </c>
      <c r="AE3666" s="805">
        <f>V3672</f>
        <v>651</v>
      </c>
      <c r="AF3666" s="809" t="s">
        <v>868</v>
      </c>
      <c r="AG3666" s="805">
        <f>AE3666*AB3666</f>
        <v>651</v>
      </c>
    </row>
    <row r="3667" spans="6:33" ht="24" customHeight="1">
      <c r="H3667" s="374" t="s">
        <v>2160</v>
      </c>
      <c r="J3667" s="283"/>
      <c r="S3667" s="807"/>
      <c r="T3667" s="805"/>
      <c r="U3667" s="809"/>
      <c r="V3667" s="805"/>
      <c r="W3667" s="810"/>
      <c r="X3667" s="805"/>
      <c r="Y3667" s="805"/>
      <c r="AB3667" s="805">
        <v>0.5</v>
      </c>
      <c r="AC3667" s="805" t="s">
        <v>868</v>
      </c>
      <c r="AD3667" s="809" t="s">
        <v>6116</v>
      </c>
      <c r="AE3667" s="805">
        <f>V3673</f>
        <v>932</v>
      </c>
      <c r="AF3667" s="809" t="s">
        <v>868</v>
      </c>
      <c r="AG3667" s="805">
        <f>AE3667*AB3667</f>
        <v>466</v>
      </c>
    </row>
    <row r="3668" spans="6:33" ht="24" customHeight="1">
      <c r="H3668" s="374" t="s">
        <v>2161</v>
      </c>
      <c r="J3668" s="283"/>
      <c r="S3668" s="807"/>
      <c r="T3668" s="805"/>
      <c r="U3668" s="374" t="s">
        <v>4114</v>
      </c>
      <c r="W3668" s="810"/>
      <c r="X3668" s="805">
        <f>SUM(X3654:X3667)</f>
        <v>19278.7</v>
      </c>
      <c r="Y3668" s="805"/>
      <c r="AB3668" s="805"/>
      <c r="AC3668" s="805" t="s">
        <v>449</v>
      </c>
      <c r="AD3668" s="809"/>
      <c r="AE3668" s="805">
        <f>V3674</f>
        <v>0</v>
      </c>
      <c r="AF3668" s="809" t="s">
        <v>449</v>
      </c>
      <c r="AG3668" s="805"/>
    </row>
    <row r="3669" spans="6:33" ht="24" customHeight="1">
      <c r="H3669" s="374" t="s">
        <v>5962</v>
      </c>
      <c r="J3669" s="283"/>
      <c r="S3669" s="807"/>
      <c r="T3669" s="805"/>
      <c r="U3669" s="374" t="s">
        <v>552</v>
      </c>
      <c r="W3669" s="808"/>
      <c r="X3669" s="811">
        <f>X3668/3.15</f>
        <v>6120.22</v>
      </c>
      <c r="Y3669" s="811" t="s">
        <v>1398</v>
      </c>
      <c r="AB3669" s="805"/>
      <c r="AC3669" s="805"/>
      <c r="AD3669" s="805"/>
      <c r="AE3669" s="805"/>
      <c r="AF3669" s="809"/>
      <c r="AG3669" s="814" t="s">
        <v>1586</v>
      </c>
    </row>
    <row r="3670" spans="6:33" ht="24" customHeight="1">
      <c r="H3670" s="374"/>
      <c r="J3670" s="283"/>
      <c r="S3670" s="805"/>
      <c r="T3670" s="805"/>
      <c r="U3670" s="813"/>
      <c r="V3670" s="805"/>
      <c r="W3670" s="810"/>
      <c r="X3670" s="805"/>
      <c r="Y3670" s="805"/>
      <c r="AB3670" s="805"/>
      <c r="AC3670" s="805"/>
      <c r="AD3670" s="809" t="s">
        <v>3931</v>
      </c>
      <c r="AE3670" s="805"/>
      <c r="AF3670" s="809"/>
      <c r="AG3670" s="811">
        <f>SUM(AG3665:AG3669)</f>
        <v>1998</v>
      </c>
    </row>
    <row r="3671" spans="6:33" ht="24.75" customHeight="1">
      <c r="F3671" s="283">
        <v>5</v>
      </c>
      <c r="G3671" s="374" t="s">
        <v>769</v>
      </c>
      <c r="H3671" s="777" t="s">
        <v>5461</v>
      </c>
      <c r="I3671" s="283">
        <v>44.9</v>
      </c>
      <c r="J3671" s="374" t="s">
        <v>769</v>
      </c>
      <c r="K3671" s="283">
        <f>(F3671*I3671)</f>
        <v>224.5</v>
      </c>
      <c r="L3671" s="887">
        <v>35.6</v>
      </c>
      <c r="S3671" s="805">
        <v>1</v>
      </c>
      <c r="T3671" s="805" t="s">
        <v>868</v>
      </c>
      <c r="U3671" s="809" t="s">
        <v>6114</v>
      </c>
      <c r="V3671" s="805">
        <f>AE17</f>
        <v>881</v>
      </c>
      <c r="W3671" s="810" t="s">
        <v>868</v>
      </c>
      <c r="X3671" s="805">
        <f>V3671*S3671</f>
        <v>881</v>
      </c>
      <c r="Y3671" s="805"/>
      <c r="AB3671" s="805"/>
      <c r="AC3671" s="805"/>
      <c r="AD3671" s="805"/>
      <c r="AE3671" s="805"/>
      <c r="AF3671" s="809"/>
      <c r="AG3671" s="814" t="s">
        <v>1586</v>
      </c>
    </row>
    <row r="3672" spans="6:33" ht="30" customHeight="1">
      <c r="F3672" s="283">
        <v>1</v>
      </c>
      <c r="G3672" s="374" t="s">
        <v>449</v>
      </c>
      <c r="H3672" s="374" t="s">
        <v>1684</v>
      </c>
      <c r="I3672" s="283">
        <v>12.1</v>
      </c>
      <c r="J3672" s="374" t="s">
        <v>449</v>
      </c>
      <c r="K3672" s="283">
        <f>(F3672*I3672)</f>
        <v>12.1</v>
      </c>
      <c r="S3672" s="805">
        <v>1</v>
      </c>
      <c r="T3672" s="805" t="s">
        <v>868</v>
      </c>
      <c r="U3672" s="809" t="s">
        <v>6115</v>
      </c>
      <c r="V3672" s="805">
        <f>AE11</f>
        <v>651</v>
      </c>
      <c r="W3672" s="810" t="s">
        <v>868</v>
      </c>
      <c r="X3672" s="805">
        <f>V3672*S3672</f>
        <v>651</v>
      </c>
      <c r="Y3672" s="805"/>
    </row>
    <row r="3673" spans="6:33" ht="24" customHeight="1">
      <c r="G3673" s="374" t="s">
        <v>449</v>
      </c>
      <c r="H3673" s="374" t="s">
        <v>450</v>
      </c>
      <c r="J3673" s="374" t="s">
        <v>449</v>
      </c>
      <c r="K3673" s="283">
        <v>17.100000000000001</v>
      </c>
      <c r="S3673" s="805">
        <v>0.5</v>
      </c>
      <c r="T3673" s="805" t="s">
        <v>868</v>
      </c>
      <c r="U3673" s="809" t="s">
        <v>6116</v>
      </c>
      <c r="V3673" s="805">
        <f>AE20</f>
        <v>932</v>
      </c>
      <c r="W3673" s="810" t="s">
        <v>868</v>
      </c>
      <c r="X3673" s="805">
        <f>V3673*S3673</f>
        <v>466</v>
      </c>
      <c r="Y3673" s="805"/>
    </row>
    <row r="3674" spans="6:33" ht="24" customHeight="1">
      <c r="J3674" s="283"/>
      <c r="S3674" s="805"/>
      <c r="T3674" s="805" t="s">
        <v>449</v>
      </c>
      <c r="U3674" s="809"/>
      <c r="V3674" s="805"/>
      <c r="W3674" s="810" t="s">
        <v>449</v>
      </c>
      <c r="X3674" s="805"/>
      <c r="Y3674" s="805"/>
    </row>
    <row r="3675" spans="6:33" ht="24" customHeight="1">
      <c r="J3675" s="283"/>
      <c r="K3675" s="748" t="s">
        <v>1586</v>
      </c>
      <c r="S3675" s="805"/>
      <c r="T3675" s="805"/>
      <c r="U3675" s="805"/>
      <c r="V3675" s="805"/>
      <c r="W3675" s="810"/>
      <c r="X3675" s="814" t="s">
        <v>1586</v>
      </c>
      <c r="Y3675" s="805"/>
    </row>
    <row r="3676" spans="6:33" ht="24" customHeight="1">
      <c r="H3676" s="374" t="s">
        <v>1544</v>
      </c>
      <c r="J3676" s="283"/>
      <c r="K3676" s="283">
        <f>SUM(K3661:K3673)</f>
        <v>14427.83</v>
      </c>
      <c r="S3676" s="805"/>
      <c r="T3676" s="805"/>
      <c r="U3676" s="809" t="s">
        <v>3931</v>
      </c>
      <c r="V3676" s="805"/>
      <c r="W3676" s="810"/>
      <c r="X3676" s="811">
        <f>SUM(X3671:X3675)</f>
        <v>1998</v>
      </c>
      <c r="Y3676" s="805"/>
    </row>
    <row r="3677" spans="6:33" ht="24" customHeight="1">
      <c r="J3677" s="283"/>
      <c r="K3677" s="748" t="s">
        <v>1586</v>
      </c>
      <c r="S3677" s="805"/>
      <c r="T3677" s="805"/>
      <c r="U3677" s="805"/>
      <c r="V3677" s="805"/>
      <c r="W3677" s="810"/>
      <c r="X3677" s="814" t="s">
        <v>1586</v>
      </c>
      <c r="Y3677" s="805"/>
    </row>
    <row r="3678" spans="6:33" ht="24" customHeight="1">
      <c r="H3678" s="374" t="s">
        <v>1545</v>
      </c>
      <c r="J3678" s="283"/>
      <c r="K3678" s="751">
        <f>(K3676/30)</f>
        <v>480.93</v>
      </c>
      <c r="S3678" s="283"/>
      <c r="W3678" s="744"/>
    </row>
    <row r="3679" spans="6:33" ht="24" customHeight="1">
      <c r="J3679" s="283"/>
      <c r="K3679" s="748" t="s">
        <v>1586</v>
      </c>
      <c r="S3679" s="283"/>
      <c r="W3679" s="744"/>
    </row>
    <row r="3680" spans="6:33" ht="24" customHeight="1">
      <c r="G3680" s="374" t="s">
        <v>1555</v>
      </c>
      <c r="H3680" s="886" t="s">
        <v>3827</v>
      </c>
      <c r="J3680" s="283"/>
      <c r="S3680" s="888"/>
      <c r="T3680" s="888"/>
      <c r="U3680" s="888"/>
      <c r="V3680" s="888"/>
      <c r="W3680" s="889"/>
      <c r="X3680" s="888"/>
    </row>
    <row r="3681" spans="6:25" ht="24" customHeight="1">
      <c r="H3681" s="748" t="s">
        <v>1586</v>
      </c>
      <c r="J3681" s="283"/>
      <c r="S3681" s="989" t="s">
        <v>4120</v>
      </c>
      <c r="T3681" s="989"/>
      <c r="U3681" s="989"/>
      <c r="V3681" s="989"/>
      <c r="W3681" s="808"/>
      <c r="X3681" s="808"/>
    </row>
    <row r="3682" spans="6:25" ht="24" customHeight="1">
      <c r="F3682" s="283">
        <f>F3661</f>
        <v>18.899999999999999</v>
      </c>
      <c r="G3682" s="374" t="s">
        <v>869</v>
      </c>
      <c r="H3682" s="374" t="str">
        <f>H3661</f>
        <v>E.W EXCLUDING REFILLING</v>
      </c>
      <c r="I3682" s="283">
        <f>I3661</f>
        <v>224.1</v>
      </c>
      <c r="J3682" s="374" t="s">
        <v>869</v>
      </c>
      <c r="K3682" s="283">
        <f>(F3682*I3682)</f>
        <v>4235.49</v>
      </c>
      <c r="S3682" s="807"/>
      <c r="T3682" s="805"/>
      <c r="U3682" s="808"/>
      <c r="V3682" s="805"/>
      <c r="W3682" s="810"/>
      <c r="X3682" s="805"/>
    </row>
    <row r="3683" spans="6:25" ht="24" customHeight="1">
      <c r="F3683" s="283">
        <v>18.3</v>
      </c>
      <c r="G3683" s="374" t="s">
        <v>869</v>
      </c>
      <c r="H3683" s="374" t="str">
        <f>H3662</f>
        <v>REFILLING CHARGE</v>
      </c>
      <c r="I3683" s="283">
        <f>I3662</f>
        <v>38.950000000000003</v>
      </c>
      <c r="J3683" s="374" t="s">
        <v>869</v>
      </c>
      <c r="K3683" s="283">
        <f>(F3683*I3683)</f>
        <v>712.79</v>
      </c>
      <c r="S3683" s="807"/>
      <c r="T3683" s="805"/>
      <c r="U3683" s="809"/>
      <c r="V3683" s="805"/>
      <c r="W3683" s="810"/>
      <c r="X3683" s="805"/>
    </row>
    <row r="3684" spans="6:25" ht="33.75" customHeight="1">
      <c r="F3684" s="283">
        <f>F3663</f>
        <v>30</v>
      </c>
      <c r="G3684" s="374" t="s">
        <v>1771</v>
      </c>
      <c r="H3684" s="775" t="s">
        <v>5961</v>
      </c>
      <c r="I3684" s="751">
        <v>604.5</v>
      </c>
      <c r="J3684" s="374" t="s">
        <v>1771</v>
      </c>
      <c r="K3684" s="283">
        <f>(F3684*I3684)</f>
        <v>18135</v>
      </c>
      <c r="S3684" s="807">
        <v>29.06</v>
      </c>
      <c r="T3684" s="805" t="s">
        <v>913</v>
      </c>
      <c r="U3684" s="884" t="s">
        <v>4121</v>
      </c>
      <c r="V3684" s="805">
        <f>V3654</f>
        <v>325</v>
      </c>
      <c r="W3684" s="810" t="s">
        <v>913</v>
      </c>
      <c r="X3684" s="805">
        <f>V3684*S3684</f>
        <v>9444.5</v>
      </c>
    </row>
    <row r="3685" spans="6:25" ht="39" customHeight="1">
      <c r="H3685" s="374"/>
      <c r="J3685" s="283"/>
      <c r="S3685" s="885">
        <v>9.24</v>
      </c>
      <c r="T3685" s="805" t="s">
        <v>826</v>
      </c>
      <c r="U3685" s="809" t="s">
        <v>4040</v>
      </c>
      <c r="V3685" s="805">
        <f t="shared" ref="V3685:V3695" si="364">V3655</f>
        <v>38.25</v>
      </c>
      <c r="W3685" s="810" t="s">
        <v>826</v>
      </c>
      <c r="X3685" s="805">
        <f t="shared" ref="X3685:X3695" si="365">V3685*S3685</f>
        <v>353.43</v>
      </c>
    </row>
    <row r="3686" spans="6:25" ht="24" customHeight="1">
      <c r="F3686" s="283">
        <f>F3665</f>
        <v>30</v>
      </c>
      <c r="H3686" s="374" t="str">
        <f>H3665</f>
        <v>CONVEYING,LOWERING  ANDLAYING</v>
      </c>
      <c r="I3686" s="283">
        <v>27</v>
      </c>
      <c r="J3686" s="374" t="s">
        <v>1771</v>
      </c>
      <c r="K3686" s="283">
        <f>(F3686*I3686)</f>
        <v>810</v>
      </c>
      <c r="S3686" s="807">
        <v>1.49</v>
      </c>
      <c r="T3686" s="805" t="s">
        <v>233</v>
      </c>
      <c r="U3686" s="809" t="s">
        <v>4038</v>
      </c>
      <c r="V3686" s="805">
        <f t="shared" si="364"/>
        <v>362.5</v>
      </c>
      <c r="W3686" s="810" t="s">
        <v>233</v>
      </c>
      <c r="X3686" s="805">
        <f t="shared" si="365"/>
        <v>540.13</v>
      </c>
    </row>
    <row r="3687" spans="6:25" ht="24" customHeight="1">
      <c r="H3687" s="374" t="str">
        <f>H3666</f>
        <v>TO PROPER GRADEAND</v>
      </c>
      <c r="J3687" s="283"/>
      <c r="S3687" s="807">
        <v>0.75</v>
      </c>
      <c r="T3687" s="805" t="s">
        <v>233</v>
      </c>
      <c r="U3687" s="809" t="s">
        <v>4039</v>
      </c>
      <c r="V3687" s="805">
        <f t="shared" si="364"/>
        <v>695</v>
      </c>
      <c r="W3687" s="810" t="s">
        <v>769</v>
      </c>
      <c r="X3687" s="805">
        <f t="shared" si="365"/>
        <v>521.25</v>
      </c>
    </row>
    <row r="3688" spans="6:25" ht="24" customHeight="1">
      <c r="H3688" s="374" t="str">
        <f>H3667</f>
        <v>ALIGNMENT,JOINTING</v>
      </c>
      <c r="J3688" s="283"/>
      <c r="S3688" s="807">
        <v>2</v>
      </c>
      <c r="T3688" s="805" t="s">
        <v>222</v>
      </c>
      <c r="U3688" s="809" t="s">
        <v>4122</v>
      </c>
      <c r="V3688" s="805">
        <f t="shared" si="364"/>
        <v>11.9</v>
      </c>
      <c r="W3688" s="810" t="s">
        <v>222</v>
      </c>
      <c r="X3688" s="805">
        <f t="shared" si="365"/>
        <v>23.8</v>
      </c>
    </row>
    <row r="3689" spans="6:25" ht="24" customHeight="1">
      <c r="G3689" s="374"/>
      <c r="H3689" s="374" t="str">
        <f>H3668</f>
        <v>ETC BUT EXCLUDING  COST OF</v>
      </c>
      <c r="S3689" s="807">
        <v>7.08</v>
      </c>
      <c r="T3689" s="805" t="s">
        <v>1398</v>
      </c>
      <c r="U3689" s="809" t="s">
        <v>4108</v>
      </c>
      <c r="V3689" s="805">
        <f t="shared" si="364"/>
        <v>7.95</v>
      </c>
      <c r="W3689" s="810" t="s">
        <v>769</v>
      </c>
      <c r="X3689" s="805">
        <f t="shared" si="365"/>
        <v>56.29</v>
      </c>
    </row>
    <row r="3690" spans="6:25" ht="24" customHeight="1">
      <c r="G3690" s="374"/>
      <c r="H3690" s="374" t="s">
        <v>5962</v>
      </c>
      <c r="S3690" s="807">
        <v>2.1</v>
      </c>
      <c r="T3690" s="805" t="s">
        <v>2283</v>
      </c>
      <c r="U3690" s="809" t="s">
        <v>3922</v>
      </c>
      <c r="V3690" s="805">
        <f t="shared" si="364"/>
        <v>1998</v>
      </c>
      <c r="W3690" s="810" t="s">
        <v>2283</v>
      </c>
      <c r="X3690" s="805">
        <f t="shared" si="365"/>
        <v>4195.8</v>
      </c>
    </row>
    <row r="3691" spans="6:25" ht="24" customHeight="1">
      <c r="G3691" s="374"/>
      <c r="H3691" s="374"/>
      <c r="S3691" s="751">
        <v>1</v>
      </c>
      <c r="T3691" s="751" t="s">
        <v>1873</v>
      </c>
      <c r="U3691" s="751" t="s">
        <v>4109</v>
      </c>
      <c r="V3691" s="805">
        <f t="shared" si="364"/>
        <v>49.55</v>
      </c>
      <c r="W3691" s="757" t="s">
        <v>1398</v>
      </c>
      <c r="X3691" s="805">
        <f t="shared" si="365"/>
        <v>49.55</v>
      </c>
    </row>
    <row r="3692" spans="6:25" ht="24" customHeight="1">
      <c r="F3692" s="283">
        <f>F3671</f>
        <v>5</v>
      </c>
      <c r="G3692" s="374" t="s">
        <v>449</v>
      </c>
      <c r="H3692" s="374" t="str">
        <f>H3671</f>
        <v>CUTTING CHARGES ( P-32/141)</v>
      </c>
      <c r="I3692" s="283">
        <f>I3671</f>
        <v>44.9</v>
      </c>
      <c r="J3692" s="374" t="s">
        <v>769</v>
      </c>
      <c r="K3692" s="283">
        <f>(F3692*I3692)</f>
        <v>224.5</v>
      </c>
      <c r="S3692" s="751">
        <v>1</v>
      </c>
      <c r="T3692" s="751" t="s">
        <v>1873</v>
      </c>
      <c r="U3692" s="751" t="s">
        <v>4123</v>
      </c>
      <c r="V3692" s="805">
        <f t="shared" si="364"/>
        <v>1008</v>
      </c>
      <c r="W3692" s="757" t="s">
        <v>1398</v>
      </c>
      <c r="X3692" s="805">
        <f t="shared" si="365"/>
        <v>1008</v>
      </c>
    </row>
    <row r="3693" spans="6:25" ht="24" customHeight="1">
      <c r="F3693" s="283">
        <f>F3672</f>
        <v>1</v>
      </c>
      <c r="H3693" s="374" t="str">
        <f>H3672</f>
        <v>COST OF JOINTING  MATERIALS</v>
      </c>
      <c r="I3693" s="283">
        <f>I3672</f>
        <v>12.1</v>
      </c>
      <c r="J3693" s="374" t="s">
        <v>449</v>
      </c>
      <c r="K3693" s="283">
        <f>(F3693*I3693)</f>
        <v>12.1</v>
      </c>
      <c r="S3693" s="754">
        <v>6</v>
      </c>
      <c r="T3693" s="754" t="s">
        <v>1873</v>
      </c>
      <c r="U3693" s="754" t="s">
        <v>4117</v>
      </c>
      <c r="V3693" s="805">
        <f t="shared" si="364"/>
        <v>2.21</v>
      </c>
      <c r="W3693" s="756" t="s">
        <v>1394</v>
      </c>
      <c r="X3693" s="805">
        <f t="shared" si="365"/>
        <v>13.26</v>
      </c>
    </row>
    <row r="3694" spans="6:25" ht="24" customHeight="1">
      <c r="H3694" s="374" t="str">
        <f>H3673</f>
        <v>SUNDRIES</v>
      </c>
      <c r="J3694" s="374" t="s">
        <v>449</v>
      </c>
      <c r="K3694" s="283">
        <v>24.3</v>
      </c>
      <c r="S3694" s="754">
        <v>2</v>
      </c>
      <c r="T3694" s="754" t="s">
        <v>1873</v>
      </c>
      <c r="U3694" s="754" t="s">
        <v>4124</v>
      </c>
      <c r="V3694" s="805">
        <f t="shared" si="364"/>
        <v>130.5</v>
      </c>
      <c r="W3694" s="757" t="s">
        <v>1398</v>
      </c>
      <c r="X3694" s="805">
        <f t="shared" si="365"/>
        <v>261</v>
      </c>
    </row>
    <row r="3695" spans="6:25" ht="24" customHeight="1">
      <c r="J3695" s="283"/>
      <c r="S3695" s="754">
        <v>2</v>
      </c>
      <c r="T3695" s="754" t="s">
        <v>1873</v>
      </c>
      <c r="U3695" s="754" t="s">
        <v>4113</v>
      </c>
      <c r="V3695" s="805">
        <f t="shared" si="364"/>
        <v>64.8</v>
      </c>
      <c r="W3695" s="757" t="s">
        <v>1398</v>
      </c>
      <c r="X3695" s="805">
        <f t="shared" si="365"/>
        <v>129.6</v>
      </c>
    </row>
    <row r="3696" spans="6:25" ht="24" customHeight="1">
      <c r="H3696" s="374" t="s">
        <v>1544</v>
      </c>
      <c r="J3696" s="283"/>
      <c r="K3696" s="283">
        <f>SUM(K3682:K3695)</f>
        <v>24154.18</v>
      </c>
      <c r="S3696" s="283"/>
      <c r="U3696" s="374" t="s">
        <v>4125</v>
      </c>
      <c r="W3696" s="810"/>
      <c r="X3696" s="805">
        <f>SUM(X3684:X3695)</f>
        <v>16596.61</v>
      </c>
      <c r="Y3696" s="805"/>
    </row>
    <row r="3697" spans="6:26" ht="24" customHeight="1">
      <c r="J3697" s="283"/>
      <c r="K3697" s="748" t="s">
        <v>1586</v>
      </c>
      <c r="S3697" s="888"/>
      <c r="T3697" s="888"/>
      <c r="U3697" s="374" t="s">
        <v>552</v>
      </c>
      <c r="W3697" s="808"/>
      <c r="X3697" s="811">
        <f>X3696/2.1</f>
        <v>7903.15</v>
      </c>
      <c r="Y3697" s="811"/>
    </row>
    <row r="3698" spans="6:26" ht="24" customHeight="1">
      <c r="H3698" s="374" t="s">
        <v>1545</v>
      </c>
      <c r="J3698" s="283"/>
      <c r="K3698" s="751">
        <f>(K3696/30)</f>
        <v>805.14</v>
      </c>
      <c r="S3698" s="888"/>
      <c r="T3698" s="888"/>
      <c r="U3698" s="888"/>
      <c r="V3698" s="888"/>
      <c r="W3698" s="889"/>
      <c r="X3698" s="888"/>
    </row>
    <row r="3699" spans="6:26" ht="24" customHeight="1">
      <c r="J3699" s="283"/>
      <c r="S3699" s="283"/>
      <c r="U3699" s="751" t="s">
        <v>4221</v>
      </c>
      <c r="W3699" s="744"/>
    </row>
    <row r="3700" spans="6:26" ht="24" customHeight="1">
      <c r="S3700" s="811"/>
      <c r="T3700" s="811"/>
      <c r="U3700" s="901" t="s">
        <v>6519</v>
      </c>
      <c r="V3700" s="901"/>
      <c r="W3700" s="902"/>
      <c r="X3700" s="901"/>
      <c r="Y3700" s="901"/>
      <c r="Z3700" s="901"/>
    </row>
    <row r="3701" spans="6:26" ht="240.75" customHeight="1">
      <c r="S3701" s="811"/>
      <c r="T3701" s="811"/>
      <c r="U3701" s="901"/>
      <c r="V3701" s="901"/>
      <c r="W3701" s="902"/>
      <c r="X3701" s="901"/>
      <c r="Y3701" s="901"/>
      <c r="Z3701" s="901"/>
    </row>
    <row r="3702" spans="6:26" ht="25.5" customHeight="1">
      <c r="F3702" s="888"/>
      <c r="G3702" s="888"/>
      <c r="H3702" s="888"/>
      <c r="I3702" s="888"/>
      <c r="J3702" s="888"/>
      <c r="K3702" s="888"/>
      <c r="L3702" s="888"/>
      <c r="M3702" s="888"/>
      <c r="N3702" s="888"/>
      <c r="S3702" s="807">
        <v>17.440000000000001</v>
      </c>
      <c r="T3702" s="805" t="s">
        <v>913</v>
      </c>
      <c r="U3702" s="884" t="s">
        <v>4328</v>
      </c>
      <c r="V3702" s="805">
        <f>V3684</f>
        <v>325</v>
      </c>
      <c r="W3702" s="810" t="s">
        <v>913</v>
      </c>
      <c r="X3702" s="805">
        <f>V3702*S3702</f>
        <v>5668</v>
      </c>
      <c r="Y3702" s="805"/>
    </row>
    <row r="3703" spans="6:26" ht="24" customHeight="1">
      <c r="F3703" s="888"/>
      <c r="G3703" s="888"/>
      <c r="H3703" s="903" t="s">
        <v>4043</v>
      </c>
      <c r="I3703" s="903"/>
      <c r="J3703" s="903"/>
      <c r="K3703" s="903"/>
      <c r="L3703" s="888"/>
      <c r="M3703" s="888"/>
      <c r="N3703" s="888"/>
      <c r="S3703" s="885">
        <v>13.56</v>
      </c>
      <c r="T3703" s="805" t="s">
        <v>826</v>
      </c>
      <c r="U3703" s="809" t="s">
        <v>5357</v>
      </c>
      <c r="V3703" s="805">
        <v>38.25</v>
      </c>
      <c r="W3703" s="810" t="s">
        <v>826</v>
      </c>
      <c r="X3703" s="805">
        <v>501.66</v>
      </c>
      <c r="Y3703" s="805"/>
    </row>
    <row r="3704" spans="6:26" ht="24" customHeight="1">
      <c r="F3704" s="888">
        <v>11</v>
      </c>
      <c r="G3704" s="283" t="s">
        <v>2283</v>
      </c>
      <c r="H3704" s="888" t="s">
        <v>5462</v>
      </c>
      <c r="I3704" s="283">
        <v>434</v>
      </c>
      <c r="J3704" s="283" t="s">
        <v>2283</v>
      </c>
      <c r="K3704" s="859">
        <f>I3704*F3704</f>
        <v>4774</v>
      </c>
      <c r="L3704" s="888"/>
      <c r="M3704" s="888"/>
      <c r="N3704" s="888"/>
      <c r="S3704" s="807">
        <v>2.62</v>
      </c>
      <c r="T3704" s="805" t="s">
        <v>233</v>
      </c>
      <c r="U3704" s="809" t="s">
        <v>5358</v>
      </c>
      <c r="V3704" s="805">
        <v>306.89999999999998</v>
      </c>
      <c r="W3704" s="810" t="s">
        <v>233</v>
      </c>
      <c r="X3704" s="805">
        <f>V3704*S3704</f>
        <v>804.08</v>
      </c>
      <c r="Y3704" s="805"/>
    </row>
    <row r="3705" spans="6:26" ht="24" customHeight="1">
      <c r="F3705" s="888">
        <v>2.2000000000000002</v>
      </c>
      <c r="G3705" s="888" t="s">
        <v>1398</v>
      </c>
      <c r="H3705" s="888" t="s">
        <v>4059</v>
      </c>
      <c r="I3705" s="283">
        <f>AE17</f>
        <v>881</v>
      </c>
      <c r="J3705" s="888" t="s">
        <v>1398</v>
      </c>
      <c r="K3705" s="859">
        <f>I3705*F3705</f>
        <v>1938.2</v>
      </c>
      <c r="L3705" s="888"/>
      <c r="M3705" s="888"/>
      <c r="N3705" s="888"/>
      <c r="S3705" s="807">
        <v>8</v>
      </c>
      <c r="T3705" s="805" t="s">
        <v>1432</v>
      </c>
      <c r="U3705" s="809" t="s">
        <v>5359</v>
      </c>
      <c r="V3705" s="805">
        <v>14.6</v>
      </c>
      <c r="W3705" s="810" t="s">
        <v>1432</v>
      </c>
      <c r="X3705" s="805">
        <f>V3705*S3705</f>
        <v>116.8</v>
      </c>
      <c r="Y3705" s="805"/>
    </row>
    <row r="3706" spans="6:26" ht="24" customHeight="1">
      <c r="F3706" s="888">
        <v>1.1000000000000001</v>
      </c>
      <c r="G3706" s="888" t="s">
        <v>1398</v>
      </c>
      <c r="H3706" s="888" t="s">
        <v>4044</v>
      </c>
      <c r="I3706" s="283">
        <f>AE19</f>
        <v>976</v>
      </c>
      <c r="J3706" s="888" t="s">
        <v>1398</v>
      </c>
      <c r="K3706" s="859">
        <f>I3706*F3706</f>
        <v>1073.5999999999999</v>
      </c>
      <c r="L3706" s="888"/>
      <c r="M3706" s="888"/>
      <c r="N3706" s="888"/>
      <c r="S3706" s="807">
        <v>3</v>
      </c>
      <c r="T3706" s="805" t="s">
        <v>1432</v>
      </c>
      <c r="U3706" s="809" t="s">
        <v>5360</v>
      </c>
      <c r="V3706" s="805">
        <v>71.099999999999994</v>
      </c>
      <c r="W3706" s="810" t="s">
        <v>222</v>
      </c>
      <c r="X3706" s="805">
        <f>V3706*S3706</f>
        <v>213.3</v>
      </c>
      <c r="Y3706" s="805"/>
    </row>
    <row r="3707" spans="6:26" ht="24" customHeight="1">
      <c r="F3707" s="888">
        <v>3.2</v>
      </c>
      <c r="G3707" s="888" t="s">
        <v>1398</v>
      </c>
      <c r="H3707" s="374" t="s">
        <v>4045</v>
      </c>
      <c r="I3707" s="283">
        <f>AE11</f>
        <v>651</v>
      </c>
      <c r="J3707" s="888" t="s">
        <v>1398</v>
      </c>
      <c r="K3707" s="859">
        <f>I3707*F3707</f>
        <v>2083.1999999999998</v>
      </c>
      <c r="L3707" s="888"/>
      <c r="M3707" s="888"/>
      <c r="N3707" s="888"/>
      <c r="S3707" s="807">
        <v>4</v>
      </c>
      <c r="T3707" s="805" t="s">
        <v>1432</v>
      </c>
      <c r="U3707" s="809" t="s">
        <v>5361</v>
      </c>
      <c r="V3707" s="805">
        <v>35.299999999999997</v>
      </c>
      <c r="W3707" s="810" t="s">
        <v>769</v>
      </c>
      <c r="X3707" s="805">
        <f>V3707*S3707</f>
        <v>141.19999999999999</v>
      </c>
      <c r="Y3707" s="805"/>
    </row>
    <row r="3708" spans="6:26" ht="24" customHeight="1">
      <c r="F3708" s="888"/>
      <c r="G3708" s="888" t="s">
        <v>4046</v>
      </c>
      <c r="H3708" s="888" t="s">
        <v>4047</v>
      </c>
      <c r="I3708" s="888" t="s">
        <v>4046</v>
      </c>
      <c r="J3708" s="888"/>
      <c r="K3708" s="888">
        <v>107.11</v>
      </c>
      <c r="L3708" s="888"/>
      <c r="M3708" s="888"/>
      <c r="N3708" s="888"/>
      <c r="S3708" s="807">
        <v>2.4300000000000002</v>
      </c>
      <c r="T3708" s="805" t="s">
        <v>2283</v>
      </c>
      <c r="U3708" s="809" t="s">
        <v>3922</v>
      </c>
      <c r="V3708" s="805">
        <f>X3676</f>
        <v>1998</v>
      </c>
      <c r="W3708" s="810" t="s">
        <v>2283</v>
      </c>
      <c r="X3708" s="805">
        <f>V3708*S3708</f>
        <v>4855.1400000000003</v>
      </c>
      <c r="Y3708" s="805"/>
    </row>
    <row r="3709" spans="6:26" ht="24" customHeight="1">
      <c r="F3709" s="888"/>
      <c r="G3709" s="888"/>
      <c r="H3709" s="888" t="s">
        <v>4048</v>
      </c>
      <c r="I3709" s="888"/>
      <c r="J3709" s="888"/>
      <c r="K3709" s="859">
        <f>SUM(K3704:K3708)</f>
        <v>9976.11</v>
      </c>
      <c r="L3709" s="888"/>
      <c r="M3709" s="888"/>
      <c r="N3709" s="888"/>
      <c r="S3709" s="751"/>
      <c r="T3709" s="751" t="s">
        <v>657</v>
      </c>
      <c r="U3709" s="751" t="s">
        <v>4216</v>
      </c>
      <c r="V3709" s="751"/>
      <c r="W3709" s="757" t="s">
        <v>657</v>
      </c>
      <c r="X3709" s="751">
        <v>130</v>
      </c>
      <c r="Y3709" s="805"/>
    </row>
    <row r="3710" spans="6:26" ht="24" customHeight="1">
      <c r="F3710" s="888"/>
      <c r="G3710" s="888"/>
      <c r="H3710" s="888" t="s">
        <v>4049</v>
      </c>
      <c r="I3710" s="888"/>
      <c r="J3710" s="888"/>
      <c r="K3710" s="904">
        <f>K3709/10</f>
        <v>997.61</v>
      </c>
      <c r="L3710" s="888"/>
      <c r="M3710" s="888"/>
      <c r="N3710" s="888">
        <f>L3710</f>
        <v>0</v>
      </c>
      <c r="S3710" s="751"/>
      <c r="T3710" s="751"/>
      <c r="U3710" s="751"/>
      <c r="V3710" s="751"/>
      <c r="W3710" s="757"/>
      <c r="X3710" s="751">
        <f>SUM(X3702:X3709)</f>
        <v>12430.18</v>
      </c>
      <c r="Y3710" s="805"/>
    </row>
    <row r="3711" spans="6:26" ht="24" customHeight="1">
      <c r="F3711" s="888"/>
      <c r="G3711" s="888"/>
      <c r="H3711" s="888"/>
      <c r="I3711" s="888"/>
      <c r="J3711" s="888"/>
      <c r="K3711" s="888"/>
      <c r="L3711" s="888"/>
      <c r="M3711" s="888"/>
      <c r="N3711" s="888"/>
      <c r="W3711" s="744"/>
      <c r="X3711" s="751">
        <f>X3710/S3708</f>
        <v>5115.3</v>
      </c>
      <c r="Y3711" s="805" t="s">
        <v>2283</v>
      </c>
    </row>
    <row r="3712" spans="6:26" ht="69" customHeight="1">
      <c r="F3712" s="990" t="s">
        <v>4060</v>
      </c>
      <c r="G3712" s="990"/>
      <c r="H3712" s="990"/>
      <c r="I3712" s="990"/>
      <c r="J3712" s="990"/>
      <c r="K3712" s="990"/>
      <c r="L3712" s="888"/>
      <c r="M3712" s="888"/>
      <c r="N3712" s="888"/>
      <c r="O3712" s="992" t="s">
        <v>4721</v>
      </c>
      <c r="P3712" s="992"/>
      <c r="W3712" s="744" t="s">
        <v>4223</v>
      </c>
      <c r="X3712" s="283">
        <v>3584</v>
      </c>
      <c r="Y3712" s="805"/>
    </row>
    <row r="3713" spans="6:25" ht="52.5" customHeight="1">
      <c r="F3713" s="888"/>
      <c r="G3713" s="888"/>
      <c r="H3713" s="903" t="s">
        <v>4050</v>
      </c>
      <c r="I3713" s="903"/>
      <c r="J3713" s="903"/>
      <c r="K3713" s="903"/>
      <c r="L3713" s="888"/>
      <c r="M3713" s="283">
        <v>12.72</v>
      </c>
      <c r="N3713" s="888" t="s">
        <v>1645</v>
      </c>
      <c r="O3713" s="283" t="s">
        <v>4725</v>
      </c>
      <c r="P3713" s="283">
        <f>V3716</f>
        <v>325</v>
      </c>
      <c r="Q3713" s="888" t="s">
        <v>1645</v>
      </c>
      <c r="R3713" s="905">
        <f>P3713*M3713</f>
        <v>4134</v>
      </c>
      <c r="S3713" s="283"/>
      <c r="U3713" s="751" t="s">
        <v>4222</v>
      </c>
      <c r="W3713" s="744"/>
      <c r="Y3713" s="805"/>
    </row>
    <row r="3714" spans="6:25" ht="36.75" customHeight="1">
      <c r="F3714" s="283">
        <v>36</v>
      </c>
      <c r="G3714" s="888" t="s">
        <v>826</v>
      </c>
      <c r="H3714" s="374" t="s">
        <v>5900</v>
      </c>
      <c r="I3714" s="283">
        <v>34.6</v>
      </c>
      <c r="J3714" s="283" t="str">
        <f>G3714</f>
        <v>Rmt</v>
      </c>
      <c r="K3714" s="283">
        <f>I3714*F3714</f>
        <v>1245.5999999999999</v>
      </c>
      <c r="L3714" s="888"/>
      <c r="M3714" s="828">
        <v>9.4</v>
      </c>
      <c r="N3714" s="890" t="s">
        <v>2283</v>
      </c>
      <c r="O3714" s="829" t="s">
        <v>4723</v>
      </c>
      <c r="P3714" s="828">
        <v>807</v>
      </c>
      <c r="Q3714" s="890" t="s">
        <v>2283</v>
      </c>
      <c r="R3714" s="905">
        <f t="shared" ref="R3714:R3719" si="366">P3714*M3714</f>
        <v>7585.8</v>
      </c>
      <c r="S3714" s="811"/>
      <c r="T3714" s="811"/>
      <c r="U3714" s="901" t="s">
        <v>6520</v>
      </c>
      <c r="V3714" s="901"/>
      <c r="W3714" s="902"/>
      <c r="X3714" s="901"/>
      <c r="Y3714" s="805"/>
    </row>
    <row r="3715" spans="6:25" ht="81" customHeight="1">
      <c r="F3715" s="283">
        <v>9</v>
      </c>
      <c r="G3715" s="283" t="s">
        <v>2283</v>
      </c>
      <c r="H3715" s="891" t="s">
        <v>4051</v>
      </c>
      <c r="I3715" s="283">
        <v>350</v>
      </c>
      <c r="J3715" s="283" t="str">
        <f>G3715</f>
        <v>Sqm</v>
      </c>
      <c r="K3715" s="283">
        <f>I3715*F3715</f>
        <v>3150</v>
      </c>
      <c r="L3715" s="888"/>
      <c r="M3715" s="283">
        <v>9.4</v>
      </c>
      <c r="N3715" s="283" t="s">
        <v>2283</v>
      </c>
      <c r="O3715" s="891" t="s">
        <v>5362</v>
      </c>
      <c r="P3715" s="283">
        <v>412</v>
      </c>
      <c r="Q3715" s="283" t="s">
        <v>2283</v>
      </c>
      <c r="R3715" s="905">
        <f t="shared" si="366"/>
        <v>3872.8</v>
      </c>
      <c r="S3715" s="811"/>
      <c r="T3715" s="811"/>
      <c r="U3715" s="901"/>
      <c r="V3715" s="901"/>
      <c r="W3715" s="902"/>
      <c r="X3715" s="901"/>
      <c r="Y3715" s="805"/>
    </row>
    <row r="3716" spans="6:25" ht="36.75" customHeight="1">
      <c r="F3716" s="283">
        <v>9</v>
      </c>
      <c r="G3716" s="283" t="s">
        <v>2283</v>
      </c>
      <c r="H3716" s="891" t="s">
        <v>4052</v>
      </c>
      <c r="I3716" s="283">
        <v>860.8</v>
      </c>
      <c r="J3716" s="283" t="str">
        <f>G3716</f>
        <v>Sqm</v>
      </c>
      <c r="K3716" s="283">
        <f>I3716*F3716</f>
        <v>7747.2</v>
      </c>
      <c r="L3716" s="888"/>
      <c r="M3716" s="283">
        <v>40</v>
      </c>
      <c r="N3716" s="283" t="s">
        <v>258</v>
      </c>
      <c r="O3716" s="891" t="s">
        <v>4722</v>
      </c>
      <c r="P3716" s="283">
        <v>10</v>
      </c>
      <c r="Q3716" s="283" t="s">
        <v>258</v>
      </c>
      <c r="R3716" s="905">
        <f t="shared" si="366"/>
        <v>400</v>
      </c>
      <c r="S3716" s="807">
        <v>14.43</v>
      </c>
      <c r="T3716" s="805" t="s">
        <v>913</v>
      </c>
      <c r="U3716" s="884" t="s">
        <v>4121</v>
      </c>
      <c r="V3716" s="805">
        <f>V3702</f>
        <v>325</v>
      </c>
      <c r="W3716" s="810" t="s">
        <v>913</v>
      </c>
      <c r="X3716" s="805">
        <f>V3716*S3716</f>
        <v>4689.75</v>
      </c>
      <c r="Y3716" s="805"/>
    </row>
    <row r="3717" spans="6:25" ht="36.75" customHeight="1">
      <c r="F3717" s="283">
        <v>9</v>
      </c>
      <c r="G3717" s="283" t="s">
        <v>2283</v>
      </c>
      <c r="H3717" s="374" t="s">
        <v>5363</v>
      </c>
      <c r="I3717" s="283">
        <v>648</v>
      </c>
      <c r="J3717" s="283" t="str">
        <f>G3717</f>
        <v>Sqm</v>
      </c>
      <c r="K3717" s="283">
        <f>I3717*F3717</f>
        <v>5832</v>
      </c>
      <c r="L3717" s="888"/>
      <c r="M3717" s="283">
        <v>2.25</v>
      </c>
      <c r="N3717" s="283" t="s">
        <v>1645</v>
      </c>
      <c r="O3717" s="374" t="s">
        <v>5364</v>
      </c>
      <c r="P3717" s="283">
        <v>199.75</v>
      </c>
      <c r="Q3717" s="283" t="s">
        <v>1645</v>
      </c>
      <c r="R3717" s="905">
        <f t="shared" si="366"/>
        <v>449.44</v>
      </c>
      <c r="S3717" s="885">
        <v>10.433999999999999</v>
      </c>
      <c r="T3717" s="805" t="s">
        <v>826</v>
      </c>
      <c r="U3717" s="809" t="s">
        <v>4040</v>
      </c>
      <c r="V3717" s="805">
        <f t="shared" ref="V3717:V3722" si="367">V3703</f>
        <v>38.25</v>
      </c>
      <c r="W3717" s="810" t="s">
        <v>826</v>
      </c>
      <c r="X3717" s="805">
        <v>501.66</v>
      </c>
      <c r="Y3717" s="805"/>
    </row>
    <row r="3718" spans="6:25" ht="36.75" customHeight="1">
      <c r="F3718" s="283">
        <v>9</v>
      </c>
      <c r="G3718" s="283" t="s">
        <v>2283</v>
      </c>
      <c r="H3718" s="888" t="s">
        <v>4053</v>
      </c>
      <c r="I3718" s="283">
        <f>K3726</f>
        <v>1799</v>
      </c>
      <c r="J3718" s="283" t="str">
        <f>G3718</f>
        <v>Sqm</v>
      </c>
      <c r="K3718" s="283">
        <f>I3718*F3718</f>
        <v>16191</v>
      </c>
      <c r="L3718" s="888"/>
      <c r="M3718" s="283">
        <v>9.4</v>
      </c>
      <c r="N3718" s="283" t="s">
        <v>2283</v>
      </c>
      <c r="O3718" s="888" t="s">
        <v>4053</v>
      </c>
      <c r="P3718" s="283">
        <f>R3726</f>
        <v>2753.5</v>
      </c>
      <c r="Q3718" s="283" t="s">
        <v>2283</v>
      </c>
      <c r="R3718" s="905">
        <f t="shared" si="366"/>
        <v>25882.9</v>
      </c>
      <c r="S3718" s="807">
        <v>2.16</v>
      </c>
      <c r="T3718" s="805" t="s">
        <v>233</v>
      </c>
      <c r="U3718" s="809" t="s">
        <v>4217</v>
      </c>
      <c r="V3718" s="805">
        <f t="shared" si="367"/>
        <v>306.89999999999998</v>
      </c>
      <c r="W3718" s="810" t="s">
        <v>233</v>
      </c>
      <c r="X3718" s="805">
        <f>V3718*S3718</f>
        <v>662.9</v>
      </c>
      <c r="Y3718" s="805"/>
    </row>
    <row r="3719" spans="6:25" ht="36.75" customHeight="1">
      <c r="F3719" s="888"/>
      <c r="G3719" s="888"/>
      <c r="H3719" s="888"/>
      <c r="I3719" s="888"/>
      <c r="J3719" s="888"/>
      <c r="K3719" s="283">
        <f>SUM(K3714:K3718)</f>
        <v>34165.800000000003</v>
      </c>
      <c r="L3719" s="888"/>
      <c r="M3719" s="283">
        <v>0.25</v>
      </c>
      <c r="N3719" s="283" t="s">
        <v>1645</v>
      </c>
      <c r="O3719" s="888" t="s">
        <v>5365</v>
      </c>
      <c r="P3719" s="283">
        <v>64</v>
      </c>
      <c r="Q3719" s="283" t="s">
        <v>1645</v>
      </c>
      <c r="R3719" s="905">
        <f t="shared" si="366"/>
        <v>16</v>
      </c>
      <c r="S3719" s="807">
        <v>6</v>
      </c>
      <c r="T3719" s="805" t="s">
        <v>1432</v>
      </c>
      <c r="U3719" s="809" t="s">
        <v>4219</v>
      </c>
      <c r="V3719" s="805">
        <f t="shared" si="367"/>
        <v>14.6</v>
      </c>
      <c r="W3719" s="810" t="s">
        <v>1432</v>
      </c>
      <c r="X3719" s="805">
        <f>V3719*S3719</f>
        <v>87.6</v>
      </c>
      <c r="Y3719" s="811"/>
    </row>
    <row r="3720" spans="6:25" ht="36.75" customHeight="1">
      <c r="F3720" s="888"/>
      <c r="G3720" s="888"/>
      <c r="H3720" s="888" t="s">
        <v>4054</v>
      </c>
      <c r="I3720" s="888"/>
      <c r="J3720" s="283"/>
      <c r="K3720" s="283">
        <f>K3719/9</f>
        <v>3796.2</v>
      </c>
      <c r="L3720" s="888"/>
      <c r="M3720" s="888"/>
      <c r="N3720" s="888"/>
      <c r="O3720" s="888" t="s">
        <v>4724</v>
      </c>
      <c r="P3720" s="888"/>
      <c r="R3720" s="283">
        <f>SUM(R3713:R3719)</f>
        <v>42340.94</v>
      </c>
      <c r="S3720" s="807">
        <v>2</v>
      </c>
      <c r="T3720" s="805" t="s">
        <v>1432</v>
      </c>
      <c r="U3720" s="809" t="s">
        <v>4218</v>
      </c>
      <c r="V3720" s="805">
        <f t="shared" si="367"/>
        <v>71.099999999999994</v>
      </c>
      <c r="W3720" s="810" t="s">
        <v>222</v>
      </c>
      <c r="X3720" s="805">
        <f>V3720*S3720</f>
        <v>142.19999999999999</v>
      </c>
      <c r="Y3720" s="805"/>
    </row>
    <row r="3721" spans="6:25" ht="36.75" customHeight="1">
      <c r="F3721" s="888"/>
      <c r="G3721" s="888"/>
      <c r="H3721" s="906" t="s">
        <v>4055</v>
      </c>
      <c r="I3721" s="903" t="s">
        <v>4056</v>
      </c>
      <c r="J3721" s="888"/>
      <c r="K3721" s="751">
        <v>3282</v>
      </c>
      <c r="L3721" s="888"/>
      <c r="M3721" s="888"/>
      <c r="N3721" s="888"/>
      <c r="O3721" s="906" t="s">
        <v>4055</v>
      </c>
      <c r="P3721" s="903" t="s">
        <v>4056</v>
      </c>
      <c r="Q3721" s="888"/>
      <c r="R3721" s="751">
        <f>R3720/M3718</f>
        <v>4504.3599999999997</v>
      </c>
      <c r="S3721" s="807">
        <v>3</v>
      </c>
      <c r="T3721" s="805" t="s">
        <v>1432</v>
      </c>
      <c r="U3721" s="809" t="s">
        <v>4220</v>
      </c>
      <c r="V3721" s="805">
        <f t="shared" si="367"/>
        <v>35.299999999999997</v>
      </c>
      <c r="W3721" s="810" t="s">
        <v>769</v>
      </c>
      <c r="X3721" s="805">
        <f>V3721*S3721</f>
        <v>105.9</v>
      </c>
      <c r="Y3721" s="805"/>
    </row>
    <row r="3722" spans="6:25" ht="24" customHeight="1">
      <c r="F3722" s="888"/>
      <c r="G3722" s="888"/>
      <c r="H3722" s="888" t="s">
        <v>4057</v>
      </c>
      <c r="I3722" s="888"/>
      <c r="J3722" s="888"/>
      <c r="K3722" s="888"/>
      <c r="L3722" s="888"/>
      <c r="M3722" s="888"/>
      <c r="N3722" s="888"/>
      <c r="O3722" s="888" t="s">
        <v>4057</v>
      </c>
      <c r="P3722" s="888"/>
      <c r="Q3722" s="888"/>
      <c r="R3722" s="888"/>
      <c r="S3722" s="807">
        <v>1.823</v>
      </c>
      <c r="T3722" s="805" t="s">
        <v>2283</v>
      </c>
      <c r="U3722" s="809" t="s">
        <v>3922</v>
      </c>
      <c r="V3722" s="805">
        <f t="shared" si="367"/>
        <v>1998</v>
      </c>
      <c r="W3722" s="810" t="s">
        <v>2283</v>
      </c>
      <c r="X3722" s="805">
        <f>V3722*S3722</f>
        <v>3642.35</v>
      </c>
      <c r="Y3722" s="805"/>
    </row>
    <row r="3723" spans="6:25" ht="24" customHeight="1">
      <c r="F3723" s="283">
        <v>1</v>
      </c>
      <c r="G3723" s="283" t="s">
        <v>258</v>
      </c>
      <c r="H3723" s="283" t="s">
        <v>4058</v>
      </c>
      <c r="I3723" s="283">
        <f>AE17</f>
        <v>881</v>
      </c>
      <c r="J3723" s="283" t="s">
        <v>258</v>
      </c>
      <c r="K3723" s="888">
        <f>I3723*F3723</f>
        <v>881</v>
      </c>
      <c r="L3723" s="888"/>
      <c r="M3723" s="283">
        <v>1</v>
      </c>
      <c r="N3723" s="283" t="s">
        <v>258</v>
      </c>
      <c r="O3723" s="283" t="s">
        <v>4075</v>
      </c>
      <c r="P3723" s="283">
        <f>AE19</f>
        <v>976</v>
      </c>
      <c r="Q3723" s="283" t="s">
        <v>258</v>
      </c>
      <c r="R3723" s="859">
        <f>P3723*M3723</f>
        <v>976</v>
      </c>
      <c r="S3723" s="751"/>
      <c r="T3723" s="751" t="s">
        <v>657</v>
      </c>
      <c r="U3723" s="751" t="s">
        <v>4216</v>
      </c>
      <c r="V3723" s="751"/>
      <c r="W3723" s="757" t="s">
        <v>657</v>
      </c>
      <c r="X3723" s="751">
        <v>110</v>
      </c>
      <c r="Y3723" s="805"/>
    </row>
    <row r="3724" spans="6:25" ht="24" customHeight="1">
      <c r="F3724" s="283">
        <v>1</v>
      </c>
      <c r="G3724" s="283" t="s">
        <v>258</v>
      </c>
      <c r="H3724" s="374" t="s">
        <v>1902</v>
      </c>
      <c r="I3724" s="283">
        <f>AE11</f>
        <v>651</v>
      </c>
      <c r="J3724" s="283" t="s">
        <v>258</v>
      </c>
      <c r="K3724" s="888">
        <f>I3724*F3724</f>
        <v>651</v>
      </c>
      <c r="L3724" s="888"/>
      <c r="M3724" s="283">
        <v>1.5</v>
      </c>
      <c r="N3724" s="283" t="s">
        <v>258</v>
      </c>
      <c r="O3724" s="374" t="s">
        <v>1902</v>
      </c>
      <c r="P3724" s="283">
        <f>I3724</f>
        <v>651</v>
      </c>
      <c r="Q3724" s="283" t="s">
        <v>258</v>
      </c>
      <c r="R3724" s="859">
        <f>P3724*M3724</f>
        <v>976.5</v>
      </c>
      <c r="S3724" s="751"/>
      <c r="T3724" s="751"/>
      <c r="U3724" s="751"/>
      <c r="V3724" s="751"/>
      <c r="W3724" s="757"/>
      <c r="X3724" s="751">
        <f>SUM(X3716:X3723)</f>
        <v>9942.36</v>
      </c>
      <c r="Y3724" s="805"/>
    </row>
    <row r="3725" spans="6:25" ht="24" customHeight="1">
      <c r="F3725" s="283">
        <v>0.5</v>
      </c>
      <c r="G3725" s="283" t="s">
        <v>258</v>
      </c>
      <c r="H3725" s="374" t="s">
        <v>320</v>
      </c>
      <c r="I3725" s="283">
        <f>AE12</f>
        <v>534</v>
      </c>
      <c r="J3725" s="283" t="s">
        <v>258</v>
      </c>
      <c r="K3725" s="888">
        <f>I3725*F3725</f>
        <v>267</v>
      </c>
      <c r="L3725" s="888"/>
      <c r="M3725" s="283">
        <v>1.5</v>
      </c>
      <c r="N3725" s="283" t="s">
        <v>258</v>
      </c>
      <c r="O3725" s="374" t="s">
        <v>320</v>
      </c>
      <c r="P3725" s="283">
        <f>I3725</f>
        <v>534</v>
      </c>
      <c r="Q3725" s="283" t="s">
        <v>258</v>
      </c>
      <c r="R3725" s="859">
        <f>P3725*M3725</f>
        <v>801</v>
      </c>
      <c r="W3725" s="744"/>
      <c r="X3725" s="751">
        <f>X3724/S3722</f>
        <v>5453.85</v>
      </c>
      <c r="Y3725" s="805"/>
    </row>
    <row r="3726" spans="6:25" ht="24" customHeight="1">
      <c r="F3726" s="888"/>
      <c r="G3726" s="888"/>
      <c r="H3726" s="888"/>
      <c r="I3726" s="888"/>
      <c r="J3726" s="888"/>
      <c r="K3726" s="888">
        <f>SUM(K3723:K3725)</f>
        <v>1799</v>
      </c>
      <c r="L3726" s="888"/>
      <c r="M3726" s="888"/>
      <c r="N3726" s="888"/>
      <c r="O3726" s="888"/>
      <c r="P3726" s="888"/>
      <c r="Q3726" s="888"/>
      <c r="R3726" s="859">
        <f>SUM(R3723:R3725)</f>
        <v>2753.5</v>
      </c>
      <c r="W3726" s="744"/>
      <c r="X3726" s="283">
        <v>3873</v>
      </c>
      <c r="Y3726" s="805"/>
    </row>
    <row r="3727" spans="6:25" ht="24" customHeight="1">
      <c r="F3727" s="888"/>
      <c r="G3727" s="888"/>
      <c r="H3727" s="888"/>
      <c r="I3727" s="888"/>
      <c r="J3727" s="888"/>
      <c r="K3727" s="888"/>
      <c r="L3727" s="888"/>
      <c r="M3727" s="888"/>
      <c r="N3727" s="888"/>
      <c r="O3727" s="888"/>
      <c r="P3727" s="888"/>
      <c r="Q3727" s="888"/>
      <c r="R3727" s="888"/>
      <c r="S3727" s="805"/>
      <c r="T3727" s="805"/>
      <c r="U3727" s="805"/>
      <c r="V3727" s="805"/>
      <c r="W3727" s="810"/>
      <c r="X3727" s="814"/>
      <c r="Y3727" s="805"/>
    </row>
    <row r="3728" spans="6:25" ht="24" customHeight="1">
      <c r="F3728" s="888"/>
      <c r="G3728" s="888"/>
      <c r="H3728" s="888"/>
      <c r="I3728" s="888"/>
      <c r="J3728" s="888"/>
      <c r="K3728" s="888"/>
      <c r="L3728" s="888"/>
      <c r="M3728" s="888"/>
      <c r="N3728" s="888"/>
      <c r="S3728" s="283"/>
      <c r="W3728" s="744"/>
    </row>
    <row r="3729" spans="6:23" ht="24" customHeight="1">
      <c r="H3729" s="784"/>
      <c r="J3729" s="283"/>
      <c r="K3729" s="888"/>
      <c r="L3729" s="888"/>
      <c r="M3729" s="888"/>
      <c r="N3729" s="888"/>
      <c r="W3729" s="744"/>
    </row>
    <row r="3730" spans="6:23" ht="24" customHeight="1">
      <c r="F3730" s="888"/>
      <c r="G3730" s="888"/>
      <c r="H3730" s="907" t="s">
        <v>4061</v>
      </c>
      <c r="I3730" s="903"/>
      <c r="J3730" s="888"/>
      <c r="K3730" s="888"/>
      <c r="L3730" s="888"/>
      <c r="M3730" s="888"/>
      <c r="N3730" s="888"/>
      <c r="W3730" s="744"/>
    </row>
    <row r="3731" spans="6:23" ht="24" customHeight="1">
      <c r="F3731" s="888"/>
      <c r="G3731" s="888"/>
      <c r="H3731" s="888"/>
      <c r="I3731" s="888"/>
      <c r="J3731" s="888"/>
      <c r="K3731" s="888"/>
      <c r="L3731" s="888"/>
      <c r="M3731" s="888"/>
      <c r="N3731" s="888"/>
      <c r="W3731" s="744"/>
    </row>
    <row r="3732" spans="6:23" ht="24" customHeight="1">
      <c r="H3732" s="745" t="s">
        <v>6521</v>
      </c>
      <c r="J3732" s="283"/>
      <c r="K3732" s="888"/>
      <c r="L3732" s="888"/>
      <c r="M3732" s="888"/>
      <c r="N3732" s="888"/>
      <c r="W3732" s="744"/>
    </row>
    <row r="3733" spans="6:23" ht="24" customHeight="1">
      <c r="H3733" s="374"/>
      <c r="J3733" s="283"/>
      <c r="K3733" s="888"/>
      <c r="L3733" s="888"/>
      <c r="M3733" s="888"/>
      <c r="N3733" s="888"/>
      <c r="W3733" s="744"/>
    </row>
    <row r="3734" spans="6:23" ht="24" customHeight="1">
      <c r="F3734" s="888"/>
      <c r="G3734" s="888"/>
      <c r="H3734" s="745" t="s">
        <v>5366</v>
      </c>
      <c r="J3734" s="888"/>
      <c r="K3734" s="888"/>
      <c r="L3734" s="888"/>
      <c r="M3734" s="888"/>
      <c r="N3734" s="888"/>
      <c r="W3734" s="744"/>
    </row>
    <row r="3735" spans="6:23" ht="24" customHeight="1">
      <c r="F3735" s="283">
        <v>5</v>
      </c>
      <c r="G3735" s="283" t="s">
        <v>1645</v>
      </c>
      <c r="H3735" s="283" t="s">
        <v>5367</v>
      </c>
      <c r="I3735" s="283">
        <v>27.45</v>
      </c>
      <c r="J3735" s="283" t="s">
        <v>1645</v>
      </c>
      <c r="K3735" s="283">
        <f>I3735*F3735</f>
        <v>137.25</v>
      </c>
      <c r="L3735" s="888"/>
      <c r="M3735" s="888"/>
      <c r="N3735" s="888"/>
      <c r="W3735" s="744"/>
    </row>
    <row r="3736" spans="6:23" ht="24" customHeight="1">
      <c r="F3736" s="283">
        <v>1</v>
      </c>
      <c r="G3736" s="283" t="s">
        <v>1394</v>
      </c>
      <c r="H3736" s="283" t="s">
        <v>4062</v>
      </c>
      <c r="I3736" s="283">
        <f>AE13</f>
        <v>797</v>
      </c>
      <c r="J3736" s="283" t="s">
        <v>1394</v>
      </c>
      <c r="K3736" s="283">
        <f>I3736*F3736</f>
        <v>797</v>
      </c>
      <c r="L3736" s="888"/>
      <c r="M3736" s="888"/>
      <c r="N3736" s="888"/>
      <c r="W3736" s="744"/>
    </row>
    <row r="3737" spans="6:23" ht="24" customHeight="1">
      <c r="G3737" s="374" t="s">
        <v>657</v>
      </c>
      <c r="H3737" s="374" t="s">
        <v>3039</v>
      </c>
      <c r="I3737" s="888"/>
      <c r="J3737" s="374" t="s">
        <v>657</v>
      </c>
      <c r="K3737" s="283">
        <f>(121.1+90.9)/12</f>
        <v>17.670000000000002</v>
      </c>
      <c r="L3737" s="888"/>
      <c r="M3737" s="888"/>
      <c r="N3737" s="888"/>
      <c r="W3737" s="744"/>
    </row>
    <row r="3738" spans="6:23" ht="24" customHeight="1">
      <c r="F3738" s="888"/>
      <c r="G3738" s="888"/>
      <c r="H3738" s="374" t="s">
        <v>1459</v>
      </c>
      <c r="I3738" s="888"/>
      <c r="J3738" s="888"/>
      <c r="K3738" s="805">
        <f>SUM(K3735:K3737)</f>
        <v>951.92</v>
      </c>
      <c r="L3738" s="888"/>
      <c r="M3738" s="888"/>
      <c r="N3738" s="888"/>
      <c r="W3738" s="744"/>
    </row>
    <row r="3739" spans="6:23" ht="24" customHeight="1">
      <c r="F3739" s="888"/>
      <c r="G3739" s="888"/>
      <c r="H3739" s="374" t="s">
        <v>3225</v>
      </c>
      <c r="I3739" s="888"/>
      <c r="J3739" s="888"/>
      <c r="K3739" s="811">
        <f>K3738/10</f>
        <v>95.19</v>
      </c>
      <c r="L3739" s="888"/>
      <c r="M3739" s="888"/>
      <c r="N3739" s="888"/>
      <c r="W3739" s="744"/>
    </row>
    <row r="3740" spans="6:23" ht="24" customHeight="1">
      <c r="W3740" s="744"/>
    </row>
    <row r="3741" spans="6:23" ht="24" customHeight="1">
      <c r="W3741" s="744"/>
    </row>
    <row r="3742" spans="6:23" ht="24" customHeight="1">
      <c r="F3742" s="888"/>
      <c r="G3742" s="888"/>
      <c r="H3742" s="888"/>
      <c r="I3742" s="888"/>
      <c r="J3742" s="888"/>
      <c r="K3742" s="888"/>
      <c r="L3742" s="888"/>
      <c r="M3742" s="888"/>
      <c r="N3742" s="888"/>
      <c r="W3742" s="744"/>
    </row>
    <row r="3743" spans="6:23" ht="24" customHeight="1">
      <c r="H3743" s="745" t="s">
        <v>4063</v>
      </c>
      <c r="J3743" s="283"/>
      <c r="K3743" s="888"/>
      <c r="L3743" s="888"/>
      <c r="M3743" s="888"/>
      <c r="N3743" s="888"/>
      <c r="W3743" s="744"/>
    </row>
    <row r="3744" spans="6:23" ht="24" customHeight="1">
      <c r="F3744" s="283" t="s">
        <v>1038</v>
      </c>
      <c r="G3744" s="283" t="s">
        <v>222</v>
      </c>
      <c r="H3744" s="374"/>
      <c r="I3744" s="283" t="s">
        <v>97</v>
      </c>
      <c r="J3744" s="283" t="s">
        <v>222</v>
      </c>
      <c r="K3744" s="283" t="s">
        <v>974</v>
      </c>
      <c r="L3744" s="888"/>
      <c r="M3744" s="888"/>
      <c r="N3744" s="888"/>
      <c r="W3744" s="744"/>
    </row>
    <row r="3745" spans="6:23" ht="24" customHeight="1">
      <c r="H3745" s="374"/>
      <c r="J3745" s="283"/>
      <c r="K3745" s="888"/>
      <c r="L3745" s="888"/>
      <c r="M3745" s="888"/>
      <c r="N3745" s="888"/>
      <c r="W3745" s="744"/>
    </row>
    <row r="3746" spans="6:23" ht="24" customHeight="1">
      <c r="F3746" s="283">
        <v>0.15</v>
      </c>
      <c r="G3746" s="283" t="s">
        <v>2151</v>
      </c>
      <c r="H3746" s="770" t="s">
        <v>4271</v>
      </c>
      <c r="I3746" s="283">
        <f>I3640</f>
        <v>2573.4499999999998</v>
      </c>
      <c r="J3746" s="283" t="s">
        <v>2151</v>
      </c>
      <c r="K3746" s="283">
        <f t="shared" ref="K3746:K3751" si="368">I3746*F3746</f>
        <v>386.02</v>
      </c>
      <c r="L3746" s="888"/>
      <c r="M3746" s="888"/>
      <c r="N3746" s="888"/>
      <c r="W3746" s="744"/>
    </row>
    <row r="3747" spans="6:23" ht="40.5" customHeight="1">
      <c r="F3747" s="746">
        <v>7.1999999999999995E-2</v>
      </c>
      <c r="G3747" s="283" t="s">
        <v>528</v>
      </c>
      <c r="H3747" s="374" t="s">
        <v>390</v>
      </c>
      <c r="I3747" s="283">
        <f>I9</f>
        <v>6040</v>
      </c>
      <c r="J3747" s="283" t="s">
        <v>528</v>
      </c>
      <c r="K3747" s="283">
        <f t="shared" si="368"/>
        <v>434.88</v>
      </c>
      <c r="L3747" s="888"/>
      <c r="M3747" s="888"/>
      <c r="N3747" s="888"/>
      <c r="W3747" s="744"/>
    </row>
    <row r="3748" spans="6:23" ht="24" customHeight="1">
      <c r="F3748" s="283">
        <v>14.5</v>
      </c>
      <c r="G3748" s="283" t="s">
        <v>913</v>
      </c>
      <c r="H3748" s="745" t="s">
        <v>3966</v>
      </c>
      <c r="I3748" s="283">
        <f>P2434</f>
        <v>24.93</v>
      </c>
      <c r="J3748" s="283" t="s">
        <v>913</v>
      </c>
      <c r="K3748" s="283">
        <f t="shared" si="368"/>
        <v>361.49</v>
      </c>
      <c r="L3748" s="888"/>
      <c r="M3748" s="888"/>
      <c r="N3748" s="888"/>
      <c r="W3748" s="744"/>
    </row>
    <row r="3749" spans="6:23" ht="24" customHeight="1">
      <c r="F3749" s="283">
        <v>1.6</v>
      </c>
      <c r="G3749" s="283" t="s">
        <v>258</v>
      </c>
      <c r="H3749" s="283" t="s">
        <v>4064</v>
      </c>
      <c r="I3749" s="283">
        <f>AE9</f>
        <v>999</v>
      </c>
      <c r="J3749" s="283" t="s">
        <v>258</v>
      </c>
      <c r="K3749" s="283">
        <f t="shared" si="368"/>
        <v>1598.4</v>
      </c>
      <c r="L3749" s="888"/>
      <c r="M3749" s="888"/>
      <c r="N3749" s="888"/>
      <c r="W3749" s="744"/>
    </row>
    <row r="3750" spans="6:23" ht="24" customHeight="1">
      <c r="F3750" s="283">
        <v>0.5</v>
      </c>
      <c r="G3750" s="283" t="s">
        <v>258</v>
      </c>
      <c r="H3750" s="374" t="s">
        <v>1902</v>
      </c>
      <c r="I3750" s="283">
        <f>AE11</f>
        <v>651</v>
      </c>
      <c r="J3750" s="283" t="s">
        <v>258</v>
      </c>
      <c r="K3750" s="283">
        <f t="shared" si="368"/>
        <v>325.5</v>
      </c>
      <c r="L3750" s="888"/>
      <c r="M3750" s="888"/>
      <c r="N3750" s="888"/>
      <c r="W3750" s="744"/>
    </row>
    <row r="3751" spans="6:23" ht="24" customHeight="1">
      <c r="F3751" s="283">
        <v>1.1000000000000001</v>
      </c>
      <c r="G3751" s="283" t="s">
        <v>258</v>
      </c>
      <c r="H3751" s="374" t="s">
        <v>320</v>
      </c>
      <c r="I3751" s="283">
        <f>AE12</f>
        <v>534</v>
      </c>
      <c r="J3751" s="283" t="s">
        <v>258</v>
      </c>
      <c r="K3751" s="283">
        <f t="shared" si="368"/>
        <v>587.4</v>
      </c>
      <c r="L3751" s="888"/>
      <c r="M3751" s="888"/>
      <c r="N3751" s="888"/>
      <c r="W3751" s="744"/>
    </row>
    <row r="3752" spans="6:23" ht="24" customHeight="1">
      <c r="H3752" s="374" t="s">
        <v>3039</v>
      </c>
      <c r="I3752" s="784" t="s">
        <v>657</v>
      </c>
      <c r="J3752" s="283"/>
      <c r="K3752" s="283">
        <v>52.63</v>
      </c>
      <c r="L3752" s="888"/>
      <c r="M3752" s="888"/>
      <c r="N3752" s="888"/>
      <c r="W3752" s="744"/>
    </row>
    <row r="3753" spans="6:23" ht="24" customHeight="1">
      <c r="H3753" s="374" t="s">
        <v>1459</v>
      </c>
      <c r="I3753" s="888"/>
      <c r="J3753" s="888"/>
      <c r="K3753" s="283">
        <f>SUM(K3746:K3752)</f>
        <v>3746.32</v>
      </c>
      <c r="L3753" s="888"/>
      <c r="M3753" s="888"/>
      <c r="N3753" s="888"/>
      <c r="W3753" s="744"/>
    </row>
    <row r="3754" spans="6:23" ht="24" customHeight="1">
      <c r="F3754" s="888"/>
      <c r="G3754" s="888"/>
      <c r="H3754" s="374" t="s">
        <v>3225</v>
      </c>
      <c r="I3754" s="888"/>
      <c r="J3754" s="888"/>
      <c r="K3754" s="751">
        <f>K3753/10</f>
        <v>374.63</v>
      </c>
      <c r="L3754" s="888"/>
      <c r="M3754" s="888"/>
      <c r="N3754" s="888"/>
      <c r="W3754" s="744"/>
    </row>
    <row r="3755" spans="6:23" ht="24" customHeight="1">
      <c r="F3755" s="888"/>
      <c r="G3755" s="888"/>
      <c r="H3755" s="888"/>
      <c r="I3755" s="888"/>
      <c r="J3755" s="888"/>
      <c r="K3755" s="888"/>
      <c r="L3755" s="888"/>
      <c r="M3755" s="888"/>
      <c r="N3755" s="888"/>
      <c r="W3755" s="744"/>
    </row>
    <row r="3756" spans="6:23" ht="24" customHeight="1">
      <c r="F3756" s="774"/>
      <c r="G3756" s="283" t="s">
        <v>2251</v>
      </c>
      <c r="I3756" s="856"/>
      <c r="J3756" s="749"/>
      <c r="W3756" s="744"/>
    </row>
    <row r="3757" spans="6:23" ht="24" customHeight="1">
      <c r="H3757" s="374"/>
      <c r="W3757" s="744"/>
    </row>
    <row r="3758" spans="6:23" ht="24" customHeight="1">
      <c r="H3758" s="749" t="s">
        <v>4065</v>
      </c>
      <c r="W3758" s="744"/>
    </row>
    <row r="3759" spans="6:23" ht="24" customHeight="1">
      <c r="H3759" s="748" t="s">
        <v>1586</v>
      </c>
      <c r="W3759" s="744"/>
    </row>
    <row r="3760" spans="6:23" ht="24" customHeight="1">
      <c r="F3760" s="283">
        <v>21.55</v>
      </c>
      <c r="G3760" s="283" t="s">
        <v>1645</v>
      </c>
      <c r="H3760" s="374" t="s">
        <v>4066</v>
      </c>
      <c r="I3760" s="283">
        <f>I3782</f>
        <v>325</v>
      </c>
      <c r="J3760" s="283" t="s">
        <v>1645</v>
      </c>
      <c r="K3760" s="283">
        <f>I3760*F3760</f>
        <v>7003.75</v>
      </c>
      <c r="W3760" s="744"/>
    </row>
    <row r="3761" spans="6:23" ht="24" customHeight="1">
      <c r="H3761" s="374" t="s">
        <v>4067</v>
      </c>
      <c r="J3761" s="283"/>
      <c r="K3761" s="283">
        <f>K3760*10/100</f>
        <v>700.38</v>
      </c>
      <c r="W3761" s="744"/>
    </row>
    <row r="3762" spans="6:23" ht="24" customHeight="1">
      <c r="F3762" s="283">
        <v>3.7</v>
      </c>
      <c r="G3762" s="283" t="s">
        <v>1645</v>
      </c>
      <c r="H3762" s="374" t="s">
        <v>4068</v>
      </c>
      <c r="I3762" s="283">
        <f>Y32</f>
        <v>58000</v>
      </c>
      <c r="J3762" s="283" t="s">
        <v>528</v>
      </c>
      <c r="K3762" s="283">
        <f>I3762*F3762/10000</f>
        <v>21.46</v>
      </c>
      <c r="W3762" s="744"/>
    </row>
    <row r="3763" spans="6:23" ht="24" customHeight="1">
      <c r="F3763" s="888"/>
      <c r="G3763" s="888"/>
      <c r="H3763" s="374" t="s">
        <v>4069</v>
      </c>
      <c r="K3763" s="283">
        <f>K3762*5/100</f>
        <v>1.07</v>
      </c>
      <c r="W3763" s="744"/>
    </row>
    <row r="3764" spans="6:23" ht="24" customHeight="1">
      <c r="F3764" s="283">
        <v>18</v>
      </c>
      <c r="G3764" s="283" t="s">
        <v>1873</v>
      </c>
      <c r="H3764" s="374" t="s">
        <v>4070</v>
      </c>
      <c r="I3764" s="283">
        <v>15</v>
      </c>
      <c r="J3764" s="283" t="s">
        <v>1432</v>
      </c>
      <c r="K3764" s="283">
        <f>I3764*F3764</f>
        <v>270</v>
      </c>
      <c r="W3764" s="744"/>
    </row>
    <row r="3765" spans="6:23" ht="24" customHeight="1">
      <c r="H3765" s="374" t="s">
        <v>4071</v>
      </c>
      <c r="K3765" s="283">
        <f>K3764*10/100</f>
        <v>27</v>
      </c>
      <c r="W3765" s="744"/>
    </row>
    <row r="3766" spans="6:23" ht="24" customHeight="1">
      <c r="F3766" s="283">
        <v>28</v>
      </c>
      <c r="G3766" s="283" t="s">
        <v>1873</v>
      </c>
      <c r="H3766" s="374" t="s">
        <v>4072</v>
      </c>
      <c r="I3766" s="283">
        <v>1</v>
      </c>
      <c r="J3766" s="283" t="s">
        <v>1873</v>
      </c>
      <c r="K3766" s="283">
        <f>I3766*F3766</f>
        <v>28</v>
      </c>
      <c r="W3766" s="744"/>
    </row>
    <row r="3767" spans="6:23" ht="24" customHeight="1">
      <c r="F3767" s="283">
        <v>28</v>
      </c>
      <c r="G3767" s="283" t="s">
        <v>1873</v>
      </c>
      <c r="H3767" s="374" t="s">
        <v>4073</v>
      </c>
      <c r="I3767" s="283">
        <v>2</v>
      </c>
      <c r="J3767" s="283" t="s">
        <v>1873</v>
      </c>
      <c r="K3767" s="283">
        <f>I3767*F3767</f>
        <v>56</v>
      </c>
      <c r="W3767" s="744"/>
    </row>
    <row r="3768" spans="6:23" ht="33" customHeight="1">
      <c r="F3768" s="283">
        <v>4</v>
      </c>
      <c r="G3768" s="283" t="s">
        <v>1873</v>
      </c>
      <c r="H3768" s="374" t="s">
        <v>4074</v>
      </c>
      <c r="I3768" s="283">
        <f>AE17</f>
        <v>881</v>
      </c>
      <c r="J3768" s="283" t="s">
        <v>1873</v>
      </c>
      <c r="K3768" s="283">
        <f>I3768*F3768</f>
        <v>3524</v>
      </c>
      <c r="W3768" s="744"/>
    </row>
    <row r="3769" spans="6:23" ht="36" customHeight="1">
      <c r="F3769" s="283">
        <v>2</v>
      </c>
      <c r="G3769" s="283" t="s">
        <v>1873</v>
      </c>
      <c r="H3769" s="281" t="s">
        <v>4075</v>
      </c>
      <c r="I3769" s="283">
        <f>AE19</f>
        <v>976</v>
      </c>
      <c r="J3769" s="283" t="s">
        <v>1873</v>
      </c>
      <c r="K3769" s="283">
        <f>I3769*F3769</f>
        <v>1952</v>
      </c>
      <c r="W3769" s="744"/>
    </row>
    <row r="3770" spans="6:23" ht="24" customHeight="1">
      <c r="F3770" s="283">
        <v>6</v>
      </c>
      <c r="G3770" s="283" t="s">
        <v>1873</v>
      </c>
      <c r="H3770" s="281" t="s">
        <v>4076</v>
      </c>
      <c r="I3770" s="283">
        <f>AE11</f>
        <v>651</v>
      </c>
      <c r="J3770" s="283" t="s">
        <v>1873</v>
      </c>
      <c r="K3770" s="283">
        <f>I3770*F3770</f>
        <v>3906</v>
      </c>
      <c r="W3770" s="744"/>
    </row>
    <row r="3771" spans="6:23" ht="24" customHeight="1">
      <c r="G3771" s="283" t="s">
        <v>449</v>
      </c>
      <c r="H3771" s="374" t="s">
        <v>3039</v>
      </c>
      <c r="I3771" s="374" t="s">
        <v>975</v>
      </c>
      <c r="J3771" s="374" t="s">
        <v>449</v>
      </c>
      <c r="K3771" s="283">
        <v>5.38</v>
      </c>
      <c r="W3771" s="744"/>
    </row>
    <row r="3772" spans="6:23" ht="24" customHeight="1">
      <c r="H3772" s="374"/>
      <c r="J3772" s="283"/>
      <c r="W3772" s="744"/>
    </row>
    <row r="3773" spans="6:23" ht="24" customHeight="1">
      <c r="H3773" s="374" t="s">
        <v>4077</v>
      </c>
      <c r="K3773" s="283">
        <f>SUM(K3760:K3772)</f>
        <v>17495.04</v>
      </c>
      <c r="W3773" s="744"/>
    </row>
    <row r="3774" spans="6:23" ht="24" customHeight="1">
      <c r="K3774" s="748" t="s">
        <v>1586</v>
      </c>
      <c r="W3774" s="744"/>
    </row>
    <row r="3775" spans="6:23" ht="24" customHeight="1">
      <c r="H3775" s="750" t="s">
        <v>4078</v>
      </c>
      <c r="I3775" s="751"/>
      <c r="J3775" s="750" t="s">
        <v>721</v>
      </c>
      <c r="K3775" s="751">
        <f>K3773/18</f>
        <v>971.95</v>
      </c>
      <c r="W3775" s="744"/>
    </row>
    <row r="3776" spans="6:23" ht="24" customHeight="1">
      <c r="H3776" s="750"/>
      <c r="I3776" s="751"/>
      <c r="J3776" s="750"/>
      <c r="K3776" s="748" t="s">
        <v>1586</v>
      </c>
      <c r="W3776" s="744"/>
    </row>
    <row r="3777" spans="6:23" ht="24" customHeight="1">
      <c r="H3777" s="750"/>
      <c r="I3777" s="751"/>
      <c r="J3777" s="750"/>
      <c r="K3777" s="751"/>
      <c r="W3777" s="744"/>
    </row>
    <row r="3778" spans="6:23" ht="24" customHeight="1">
      <c r="F3778" s="888"/>
      <c r="G3778" s="888"/>
      <c r="H3778" s="908" t="s">
        <v>4329</v>
      </c>
      <c r="I3778" s="888"/>
      <c r="J3778" s="888"/>
      <c r="K3778" s="888"/>
      <c r="L3778" s="888"/>
      <c r="W3778" s="744"/>
    </row>
    <row r="3779" spans="6:23" ht="24" customHeight="1">
      <c r="G3779" s="811" t="s">
        <v>4037</v>
      </c>
      <c r="H3779" s="811"/>
      <c r="I3779" s="811"/>
      <c r="J3779" s="811"/>
      <c r="K3779" s="808"/>
      <c r="L3779" s="808"/>
      <c r="W3779" s="744"/>
    </row>
    <row r="3780" spans="6:23" ht="24" customHeight="1">
      <c r="G3780" s="807"/>
      <c r="H3780" s="805"/>
      <c r="I3780" s="808"/>
      <c r="J3780" s="805"/>
      <c r="K3780" s="805"/>
      <c r="L3780" s="805"/>
      <c r="W3780" s="744"/>
    </row>
    <row r="3781" spans="6:23" ht="24" customHeight="1">
      <c r="G3781" s="807"/>
      <c r="H3781" s="805"/>
      <c r="I3781" s="809"/>
      <c r="J3781" s="805"/>
      <c r="K3781" s="805"/>
      <c r="L3781" s="805"/>
      <c r="W3781" s="744"/>
    </row>
    <row r="3782" spans="6:23" ht="24" customHeight="1">
      <c r="F3782" s="807">
        <v>38.86</v>
      </c>
      <c r="G3782" s="805" t="s">
        <v>913</v>
      </c>
      <c r="H3782" s="809" t="s">
        <v>5368</v>
      </c>
      <c r="I3782" s="805">
        <v>325</v>
      </c>
      <c r="J3782" s="805" t="s">
        <v>913</v>
      </c>
      <c r="K3782" s="805">
        <f t="shared" ref="K3782:K3789" si="369">I3782*F3782</f>
        <v>12629.5</v>
      </c>
      <c r="L3782" s="805"/>
      <c r="W3782" s="744"/>
    </row>
    <row r="3783" spans="6:23" ht="24" customHeight="1">
      <c r="F3783" s="807">
        <v>2.4300000000000002</v>
      </c>
      <c r="G3783" s="805" t="s">
        <v>233</v>
      </c>
      <c r="H3783" s="809" t="s">
        <v>4038</v>
      </c>
      <c r="I3783" s="805">
        <v>362.5</v>
      </c>
      <c r="J3783" s="805" t="s">
        <v>233</v>
      </c>
      <c r="K3783" s="805">
        <f t="shared" si="369"/>
        <v>880.88</v>
      </c>
      <c r="L3783" s="805"/>
      <c r="W3783" s="744"/>
    </row>
    <row r="3784" spans="6:23" ht="24" customHeight="1">
      <c r="F3784" s="807">
        <v>4.8499999999999996</v>
      </c>
      <c r="G3784" s="805" t="s">
        <v>233</v>
      </c>
      <c r="H3784" s="809" t="s">
        <v>4039</v>
      </c>
      <c r="I3784" s="805">
        <v>695</v>
      </c>
      <c r="J3784" s="805" t="s">
        <v>769</v>
      </c>
      <c r="K3784" s="805">
        <f t="shared" si="369"/>
        <v>3370.75</v>
      </c>
      <c r="L3784" s="805"/>
      <c r="W3784" s="744"/>
    </row>
    <row r="3785" spans="6:23" ht="24" customHeight="1">
      <c r="F3785" s="885">
        <v>34.65</v>
      </c>
      <c r="G3785" s="805" t="s">
        <v>826</v>
      </c>
      <c r="H3785" s="809" t="s">
        <v>5901</v>
      </c>
      <c r="I3785" s="805">
        <v>38.25</v>
      </c>
      <c r="J3785" s="805" t="s">
        <v>826</v>
      </c>
      <c r="K3785" s="805">
        <f t="shared" si="369"/>
        <v>1325.36</v>
      </c>
      <c r="L3785" s="805"/>
      <c r="W3785" s="744"/>
    </row>
    <row r="3786" spans="6:23" ht="24" customHeight="1">
      <c r="F3786" s="754">
        <v>144</v>
      </c>
      <c r="G3786" s="754" t="s">
        <v>1873</v>
      </c>
      <c r="H3786" s="754" t="s">
        <v>5902</v>
      </c>
      <c r="I3786" s="754">
        <v>2.41</v>
      </c>
      <c r="J3786" s="752" t="s">
        <v>1394</v>
      </c>
      <c r="K3786" s="805">
        <f t="shared" si="369"/>
        <v>347.04</v>
      </c>
      <c r="L3786" s="805"/>
      <c r="W3786" s="744"/>
    </row>
    <row r="3787" spans="6:23" ht="24" customHeight="1">
      <c r="F3787" s="754">
        <v>12</v>
      </c>
      <c r="G3787" s="754" t="s">
        <v>1873</v>
      </c>
      <c r="H3787" s="754" t="s">
        <v>5903</v>
      </c>
      <c r="I3787" s="754">
        <v>4.88</v>
      </c>
      <c r="J3787" s="752" t="s">
        <v>1394</v>
      </c>
      <c r="K3787" s="805">
        <f t="shared" si="369"/>
        <v>58.56</v>
      </c>
      <c r="L3787" s="805"/>
      <c r="W3787" s="744"/>
    </row>
    <row r="3788" spans="6:23" ht="24" customHeight="1">
      <c r="F3788" s="754">
        <v>12</v>
      </c>
      <c r="G3788" s="754" t="s">
        <v>1873</v>
      </c>
      <c r="H3788" s="754" t="s">
        <v>5904</v>
      </c>
      <c r="I3788" s="754">
        <v>1.08</v>
      </c>
      <c r="J3788" s="752" t="s">
        <v>1394</v>
      </c>
      <c r="K3788" s="805">
        <f t="shared" si="369"/>
        <v>12.96</v>
      </c>
      <c r="L3788" s="805"/>
      <c r="W3788" s="744"/>
    </row>
    <row r="3789" spans="6:23" ht="24" customHeight="1">
      <c r="F3789" s="807">
        <v>2</v>
      </c>
      <c r="G3789" s="805" t="s">
        <v>222</v>
      </c>
      <c r="H3789" s="809" t="s">
        <v>5905</v>
      </c>
      <c r="I3789" s="805">
        <v>11.9</v>
      </c>
      <c r="J3789" s="805" t="s">
        <v>222</v>
      </c>
      <c r="K3789" s="805">
        <f t="shared" si="369"/>
        <v>23.8</v>
      </c>
      <c r="L3789" s="805"/>
      <c r="W3789" s="744"/>
    </row>
    <row r="3790" spans="6:23" ht="24" customHeight="1">
      <c r="F3790" s="807">
        <v>6.6150000000000002</v>
      </c>
      <c r="G3790" s="805" t="s">
        <v>2283</v>
      </c>
      <c r="H3790" s="809" t="s">
        <v>3922</v>
      </c>
      <c r="I3790" s="805">
        <f>K3800</f>
        <v>1998</v>
      </c>
      <c r="J3790" s="805" t="s">
        <v>2283</v>
      </c>
      <c r="K3790" s="805">
        <f>1059.95*6.615</f>
        <v>7011.57</v>
      </c>
      <c r="L3790" s="805"/>
      <c r="W3790" s="744"/>
    </row>
    <row r="3791" spans="6:23" ht="24" customHeight="1">
      <c r="F3791" s="807"/>
      <c r="G3791" s="805"/>
      <c r="H3791" s="809"/>
      <c r="I3791" s="805"/>
      <c r="J3791" s="810"/>
      <c r="K3791" s="805"/>
      <c r="L3791" s="805"/>
      <c r="W3791" s="744"/>
    </row>
    <row r="3792" spans="6:23" ht="24" customHeight="1">
      <c r="F3792" s="807"/>
      <c r="G3792" s="805"/>
      <c r="H3792" s="374" t="s">
        <v>4042</v>
      </c>
      <c r="J3792" s="805"/>
      <c r="K3792" s="805">
        <f>SUM(K3782:K3791)</f>
        <v>25660.42</v>
      </c>
      <c r="L3792" s="805"/>
      <c r="W3792" s="744"/>
    </row>
    <row r="3793" spans="6:23" ht="24" customHeight="1">
      <c r="F3793" s="807"/>
      <c r="G3793" s="805"/>
      <c r="H3793" s="374" t="s">
        <v>552</v>
      </c>
      <c r="J3793" s="808"/>
      <c r="K3793" s="811">
        <f>K3792/6.615</f>
        <v>3879.13</v>
      </c>
      <c r="L3793" s="811" t="s">
        <v>1398</v>
      </c>
      <c r="W3793" s="744"/>
    </row>
    <row r="3794" spans="6:23" ht="24" customHeight="1">
      <c r="F3794" s="805"/>
      <c r="G3794" s="805"/>
      <c r="H3794" s="813"/>
      <c r="I3794" s="805"/>
      <c r="J3794" s="805"/>
      <c r="K3794" s="805"/>
      <c r="L3794" s="805"/>
      <c r="W3794" s="744"/>
    </row>
    <row r="3795" spans="6:23" ht="24" customHeight="1">
      <c r="F3795" s="805">
        <v>1</v>
      </c>
      <c r="G3795" s="805" t="s">
        <v>868</v>
      </c>
      <c r="H3795" s="809" t="s">
        <v>6114</v>
      </c>
      <c r="I3795" s="805">
        <f>AE17</f>
        <v>881</v>
      </c>
      <c r="J3795" s="809" t="s">
        <v>868</v>
      </c>
      <c r="K3795" s="805">
        <f>I3795*F3795</f>
        <v>881</v>
      </c>
      <c r="L3795" s="805"/>
      <c r="W3795" s="744"/>
    </row>
    <row r="3796" spans="6:23" ht="24" customHeight="1">
      <c r="F3796" s="805">
        <v>1</v>
      </c>
      <c r="G3796" s="805" t="s">
        <v>868</v>
      </c>
      <c r="H3796" s="809" t="s">
        <v>6115</v>
      </c>
      <c r="I3796" s="805">
        <f>AE11</f>
        <v>651</v>
      </c>
      <c r="J3796" s="809" t="s">
        <v>868</v>
      </c>
      <c r="K3796" s="805">
        <f>I3796*F3796</f>
        <v>651</v>
      </c>
      <c r="L3796" s="805"/>
      <c r="W3796" s="744"/>
    </row>
    <row r="3797" spans="6:23" ht="24" customHeight="1">
      <c r="F3797" s="805">
        <v>0.5</v>
      </c>
      <c r="G3797" s="805" t="s">
        <v>868</v>
      </c>
      <c r="H3797" s="809" t="s">
        <v>6116</v>
      </c>
      <c r="I3797" s="805">
        <f>AE20</f>
        <v>932</v>
      </c>
      <c r="J3797" s="809" t="s">
        <v>868</v>
      </c>
      <c r="K3797" s="805">
        <f>I3797*F3797</f>
        <v>466</v>
      </c>
      <c r="L3797" s="805"/>
      <c r="W3797" s="744"/>
    </row>
    <row r="3798" spans="6:23" ht="24" customHeight="1">
      <c r="F3798" s="805"/>
      <c r="G3798" s="805" t="s">
        <v>449</v>
      </c>
      <c r="H3798" s="809"/>
      <c r="I3798" s="805"/>
      <c r="J3798" s="809" t="s">
        <v>449</v>
      </c>
      <c r="K3798" s="805"/>
      <c r="L3798" s="805"/>
      <c r="W3798" s="744"/>
    </row>
    <row r="3799" spans="6:23" ht="24" customHeight="1">
      <c r="G3799" s="805"/>
      <c r="H3799" s="805"/>
      <c r="I3799" s="805"/>
      <c r="J3799" s="805"/>
      <c r="K3799" s="814" t="s">
        <v>1586</v>
      </c>
      <c r="L3799" s="888"/>
      <c r="W3799" s="744"/>
    </row>
    <row r="3800" spans="6:23" ht="24" customHeight="1">
      <c r="G3800" s="805"/>
      <c r="H3800" s="805"/>
      <c r="I3800" s="809" t="s">
        <v>3931</v>
      </c>
      <c r="J3800" s="805"/>
      <c r="K3800" s="811">
        <f>SUM(K3795:K3799)</f>
        <v>1998</v>
      </c>
      <c r="L3800" s="888"/>
      <c r="W3800" s="744"/>
    </row>
    <row r="3801" spans="6:23" ht="24" customHeight="1">
      <c r="G3801" s="805"/>
      <c r="H3801" s="805"/>
      <c r="I3801" s="805"/>
      <c r="J3801" s="805"/>
      <c r="K3801" s="814" t="s">
        <v>1586</v>
      </c>
      <c r="L3801" s="888"/>
      <c r="W3801" s="744"/>
    </row>
    <row r="3802" spans="6:23" ht="24" customHeight="1">
      <c r="J3802" s="283"/>
      <c r="K3802" s="746"/>
      <c r="W3802" s="744"/>
    </row>
    <row r="3803" spans="6:23" ht="24" customHeight="1">
      <c r="F3803" s="765"/>
      <c r="G3803" s="283" t="s">
        <v>2251</v>
      </c>
      <c r="H3803" s="374" t="s">
        <v>6104</v>
      </c>
      <c r="W3803" s="744"/>
    </row>
    <row r="3804" spans="6:23" ht="24" customHeight="1">
      <c r="H3804" s="374"/>
      <c r="W3804" s="744"/>
    </row>
    <row r="3805" spans="6:23" ht="24" customHeight="1">
      <c r="H3805" s="748" t="s">
        <v>1586</v>
      </c>
      <c r="W3805" s="744"/>
    </row>
    <row r="3806" spans="6:23" ht="24" customHeight="1">
      <c r="F3806" s="283">
        <v>1.86</v>
      </c>
      <c r="G3806" s="283" t="s">
        <v>609</v>
      </c>
      <c r="H3806" s="374" t="s">
        <v>3603</v>
      </c>
      <c r="I3806" s="283">
        <v>699.4</v>
      </c>
      <c r="J3806" s="374" t="s">
        <v>609</v>
      </c>
      <c r="K3806" s="283">
        <f>(F3806*I3806)</f>
        <v>1300.8800000000001</v>
      </c>
      <c r="W3806" s="744"/>
    </row>
    <row r="3807" spans="6:23" ht="24" customHeight="1">
      <c r="F3807" s="283">
        <v>0.4</v>
      </c>
      <c r="G3807" s="283" t="s">
        <v>1645</v>
      </c>
      <c r="H3807" s="374" t="s">
        <v>2081</v>
      </c>
      <c r="I3807" s="283">
        <f>I3463</f>
        <v>36.1</v>
      </c>
      <c r="J3807" s="374" t="s">
        <v>1645</v>
      </c>
      <c r="K3807" s="283">
        <f>(F3807*I3807)</f>
        <v>14.44</v>
      </c>
      <c r="W3807" s="744"/>
    </row>
    <row r="3808" spans="6:23" ht="24" customHeight="1">
      <c r="F3808" s="283">
        <v>0.02</v>
      </c>
      <c r="G3808" s="283" t="s">
        <v>869</v>
      </c>
      <c r="H3808" s="374" t="s">
        <v>417</v>
      </c>
      <c r="I3808" s="283">
        <f>K23</f>
        <v>6538.86</v>
      </c>
      <c r="J3808" s="374" t="s">
        <v>869</v>
      </c>
      <c r="K3808" s="283">
        <f>(F3808*I3808)</f>
        <v>130.78</v>
      </c>
      <c r="W3808" s="744"/>
    </row>
    <row r="3809" spans="6:23" ht="24" customHeight="1">
      <c r="F3809" s="283">
        <v>1</v>
      </c>
      <c r="G3809" s="283" t="s">
        <v>769</v>
      </c>
      <c r="H3809" s="374" t="s">
        <v>2009</v>
      </c>
      <c r="I3809" s="283">
        <f>I3749</f>
        <v>999</v>
      </c>
      <c r="J3809" s="374" t="s">
        <v>769</v>
      </c>
      <c r="K3809" s="283">
        <f>(F3809*I3809)</f>
        <v>999</v>
      </c>
      <c r="W3809" s="744"/>
    </row>
    <row r="3810" spans="6:23" ht="24" customHeight="1">
      <c r="F3810" s="283">
        <v>1</v>
      </c>
      <c r="G3810" s="283" t="s">
        <v>769</v>
      </c>
      <c r="H3810" s="374" t="s">
        <v>1688</v>
      </c>
      <c r="I3810" s="283">
        <f>I3796</f>
        <v>651</v>
      </c>
      <c r="J3810" s="374" t="s">
        <v>769</v>
      </c>
      <c r="K3810" s="283">
        <f>(F3810*I3810)</f>
        <v>651</v>
      </c>
      <c r="W3810" s="744"/>
    </row>
    <row r="3811" spans="6:23" ht="24" customHeight="1">
      <c r="G3811" s="283" t="s">
        <v>449</v>
      </c>
      <c r="H3811" s="374" t="s">
        <v>450</v>
      </c>
      <c r="J3811" s="374" t="s">
        <v>449</v>
      </c>
      <c r="W3811" s="744"/>
    </row>
    <row r="3812" spans="6:23" ht="24" customHeight="1">
      <c r="K3812" s="748" t="s">
        <v>1586</v>
      </c>
      <c r="W3812" s="744"/>
    </row>
    <row r="3813" spans="6:23" ht="24" customHeight="1">
      <c r="H3813" s="374" t="s">
        <v>1689</v>
      </c>
      <c r="K3813" s="283">
        <f>SUM(K3806:K3811)</f>
        <v>3096.1</v>
      </c>
      <c r="W3813" s="744"/>
    </row>
    <row r="3814" spans="6:23" ht="24" customHeight="1">
      <c r="K3814" s="748" t="s">
        <v>1586</v>
      </c>
      <c r="W3814" s="744"/>
    </row>
    <row r="3815" spans="6:23" ht="24" customHeight="1">
      <c r="H3815" s="757" t="s">
        <v>552</v>
      </c>
      <c r="K3815" s="751">
        <f>(K3813/1.86)</f>
        <v>1664.57</v>
      </c>
      <c r="W3815" s="744"/>
    </row>
    <row r="3816" spans="6:23" ht="24" customHeight="1">
      <c r="K3816" s="748" t="s">
        <v>2055</v>
      </c>
      <c r="W3816" s="744"/>
    </row>
    <row r="3817" spans="6:23" ht="24" customHeight="1">
      <c r="W3817" s="744"/>
    </row>
    <row r="3818" spans="6:23" ht="24" customHeight="1">
      <c r="F3818" s="765"/>
      <c r="G3818" s="283" t="s">
        <v>2251</v>
      </c>
      <c r="H3818" s="374" t="s">
        <v>6103</v>
      </c>
      <c r="W3818" s="744"/>
    </row>
    <row r="3819" spans="6:23" ht="24" customHeight="1">
      <c r="H3819" s="374"/>
      <c r="W3819" s="744"/>
    </row>
    <row r="3820" spans="6:23" ht="24" customHeight="1">
      <c r="H3820" s="374"/>
      <c r="W3820" s="744"/>
    </row>
    <row r="3821" spans="6:23" ht="24" customHeight="1">
      <c r="H3821" s="748" t="s">
        <v>1586</v>
      </c>
      <c r="I3821" s="748" t="s">
        <v>1586</v>
      </c>
      <c r="W3821" s="744"/>
    </row>
    <row r="3822" spans="6:23" ht="24" customHeight="1">
      <c r="F3822" s="283">
        <v>10</v>
      </c>
      <c r="G3822" s="283" t="s">
        <v>609</v>
      </c>
      <c r="H3822" s="780" t="s">
        <v>3602</v>
      </c>
      <c r="I3822" s="283">
        <v>538.21</v>
      </c>
      <c r="J3822" s="374" t="s">
        <v>609</v>
      </c>
      <c r="K3822" s="283">
        <f>(F3822*I3822)</f>
        <v>5382.1</v>
      </c>
      <c r="W3822" s="744"/>
    </row>
    <row r="3823" spans="6:23" ht="36" customHeight="1">
      <c r="F3823" s="283">
        <v>0.21</v>
      </c>
      <c r="G3823" s="283" t="s">
        <v>869</v>
      </c>
      <c r="H3823" s="374" t="s">
        <v>1876</v>
      </c>
      <c r="I3823" s="283">
        <f>I3456</f>
        <v>5089.26</v>
      </c>
      <c r="J3823" s="374" t="s">
        <v>869</v>
      </c>
      <c r="K3823" s="283">
        <f>(F3823*I3823)</f>
        <v>1068.74</v>
      </c>
      <c r="W3823" s="744"/>
    </row>
    <row r="3824" spans="6:23" ht="32.25" customHeight="1">
      <c r="H3824" s="374" t="s">
        <v>1877</v>
      </c>
      <c r="K3824" s="374" t="s">
        <v>975</v>
      </c>
      <c r="W3824" s="744"/>
    </row>
    <row r="3825" spans="6:23" ht="24" customHeight="1">
      <c r="F3825" s="283">
        <v>1.1000000000000001</v>
      </c>
      <c r="G3825" s="283" t="s">
        <v>769</v>
      </c>
      <c r="H3825" s="374" t="s">
        <v>2009</v>
      </c>
      <c r="I3825" s="283">
        <f>I3458</f>
        <v>999</v>
      </c>
      <c r="J3825" s="374" t="s">
        <v>769</v>
      </c>
      <c r="K3825" s="283">
        <f>(F3825*I3825)</f>
        <v>1098.9000000000001</v>
      </c>
      <c r="W3825" s="744"/>
    </row>
    <row r="3826" spans="6:23" ht="24" customHeight="1">
      <c r="F3826" s="283">
        <v>1.1000000000000001</v>
      </c>
      <c r="G3826" s="283" t="s">
        <v>769</v>
      </c>
      <c r="H3826" s="374" t="s">
        <v>1712</v>
      </c>
      <c r="I3826" s="283">
        <f t="shared" ref="I3826:I3833" si="370">I3459</f>
        <v>932</v>
      </c>
      <c r="J3826" s="374" t="s">
        <v>769</v>
      </c>
      <c r="K3826" s="283">
        <f>(F3826*I3826)</f>
        <v>1025.2</v>
      </c>
      <c r="W3826" s="744"/>
    </row>
    <row r="3827" spans="6:23" ht="24" customHeight="1">
      <c r="F3827" s="283">
        <v>2.2000000000000002</v>
      </c>
      <c r="G3827" s="283" t="s">
        <v>769</v>
      </c>
      <c r="H3827" s="374" t="s">
        <v>1902</v>
      </c>
      <c r="I3827" s="283">
        <f t="shared" si="370"/>
        <v>651</v>
      </c>
      <c r="J3827" s="374" t="s">
        <v>769</v>
      </c>
      <c r="K3827" s="283">
        <f>(F3827*I3827)</f>
        <v>1432.2</v>
      </c>
      <c r="W3827" s="744"/>
    </row>
    <row r="3828" spans="6:23" ht="24" customHeight="1">
      <c r="F3828" s="283">
        <v>2.2000000000000002</v>
      </c>
      <c r="G3828" s="283" t="s">
        <v>769</v>
      </c>
      <c r="H3828" s="374" t="s">
        <v>320</v>
      </c>
      <c r="I3828" s="283">
        <f t="shared" si="370"/>
        <v>534</v>
      </c>
      <c r="J3828" s="374" t="s">
        <v>769</v>
      </c>
      <c r="K3828" s="283">
        <f>(F3828*I3828)</f>
        <v>1174.8</v>
      </c>
      <c r="W3828" s="744"/>
    </row>
    <row r="3829" spans="6:23" ht="24" customHeight="1">
      <c r="F3829" s="746">
        <v>20</v>
      </c>
      <c r="G3829" s="283" t="s">
        <v>1645</v>
      </c>
      <c r="H3829" s="374" t="s">
        <v>862</v>
      </c>
      <c r="I3829" s="283">
        <f t="shared" si="370"/>
        <v>6040</v>
      </c>
      <c r="J3829" s="374" t="s">
        <v>861</v>
      </c>
      <c r="K3829" s="283">
        <f>(F3829*I3829)/1000</f>
        <v>120.8</v>
      </c>
      <c r="W3829" s="744"/>
    </row>
    <row r="3830" spans="6:23" ht="24" customHeight="1">
      <c r="F3830" s="746">
        <v>2</v>
      </c>
      <c r="G3830" s="283" t="s">
        <v>1645</v>
      </c>
      <c r="H3830" s="374" t="s">
        <v>2081</v>
      </c>
      <c r="I3830" s="283">
        <f t="shared" si="370"/>
        <v>36.1</v>
      </c>
      <c r="J3830" s="374" t="s">
        <v>1645</v>
      </c>
      <c r="K3830" s="283">
        <f>(F3830*I3830)</f>
        <v>72.2</v>
      </c>
      <c r="W3830" s="744"/>
    </row>
    <row r="3831" spans="6:23" ht="24" customHeight="1">
      <c r="F3831" s="283">
        <v>1.6</v>
      </c>
      <c r="G3831" s="283" t="s">
        <v>769</v>
      </c>
      <c r="H3831" s="374" t="s">
        <v>1712</v>
      </c>
      <c r="I3831" s="283">
        <f t="shared" si="370"/>
        <v>932</v>
      </c>
      <c r="J3831" s="374" t="s">
        <v>769</v>
      </c>
      <c r="K3831" s="283">
        <f>(F3831*I3831)</f>
        <v>1491.2</v>
      </c>
      <c r="W3831" s="744"/>
    </row>
    <row r="3832" spans="6:23" ht="24" customHeight="1">
      <c r="F3832" s="283">
        <v>0.5</v>
      </c>
      <c r="G3832" s="283" t="s">
        <v>769</v>
      </c>
      <c r="H3832" s="374" t="s">
        <v>1902</v>
      </c>
      <c r="I3832" s="283">
        <f t="shared" si="370"/>
        <v>651</v>
      </c>
      <c r="J3832" s="374" t="s">
        <v>769</v>
      </c>
      <c r="K3832" s="283">
        <f>(F3832*I3832)</f>
        <v>325.5</v>
      </c>
      <c r="W3832" s="744"/>
    </row>
    <row r="3833" spans="6:23" ht="24" customHeight="1">
      <c r="F3833" s="283">
        <v>1.1000000000000001</v>
      </c>
      <c r="G3833" s="283" t="s">
        <v>769</v>
      </c>
      <c r="H3833" s="374" t="s">
        <v>320</v>
      </c>
      <c r="I3833" s="283">
        <f t="shared" si="370"/>
        <v>534</v>
      </c>
      <c r="J3833" s="374" t="s">
        <v>769</v>
      </c>
      <c r="K3833" s="283">
        <f>(F3833*I3833)</f>
        <v>587.4</v>
      </c>
      <c r="W3833" s="744"/>
    </row>
    <row r="3834" spans="6:23" ht="24" customHeight="1">
      <c r="G3834" s="283" t="s">
        <v>449</v>
      </c>
      <c r="H3834" s="374" t="s">
        <v>450</v>
      </c>
      <c r="J3834" s="374" t="s">
        <v>449</v>
      </c>
      <c r="K3834" s="283">
        <v>0</v>
      </c>
      <c r="W3834" s="744"/>
    </row>
    <row r="3835" spans="6:23" ht="24" customHeight="1">
      <c r="K3835" s="748" t="s">
        <v>1586</v>
      </c>
      <c r="W3835" s="744"/>
    </row>
    <row r="3836" spans="6:23" ht="24" customHeight="1">
      <c r="H3836" s="374" t="s">
        <v>441</v>
      </c>
      <c r="K3836" s="283">
        <f>SUM(K3822:K3834)</f>
        <v>13779.04</v>
      </c>
      <c r="W3836" s="744"/>
    </row>
    <row r="3837" spans="6:23" ht="24" customHeight="1">
      <c r="K3837" s="748" t="s">
        <v>1586</v>
      </c>
      <c r="W3837" s="744"/>
    </row>
    <row r="3838" spans="6:23" ht="24" customHeight="1">
      <c r="F3838" s="746"/>
      <c r="H3838" s="757" t="s">
        <v>552</v>
      </c>
      <c r="K3838" s="751">
        <f>(K3836/10)</f>
        <v>1377.9</v>
      </c>
      <c r="W3838" s="744"/>
    </row>
    <row r="3839" spans="6:23" ht="24" customHeight="1">
      <c r="F3839" s="746"/>
      <c r="K3839" s="748" t="s">
        <v>2055</v>
      </c>
      <c r="W3839" s="744"/>
    </row>
    <row r="3840" spans="6:23" ht="24" customHeight="1">
      <c r="W3840" s="744"/>
    </row>
    <row r="3841" spans="5:23" ht="24" customHeight="1">
      <c r="G3841" s="751" t="s">
        <v>4094</v>
      </c>
      <c r="I3841" s="374">
        <f>1.2*0.8</f>
        <v>0.96</v>
      </c>
      <c r="J3841" s="283"/>
      <c r="K3841" s="746"/>
      <c r="W3841" s="744"/>
    </row>
    <row r="3842" spans="5:23" ht="24" customHeight="1">
      <c r="I3842" s="374"/>
      <c r="J3842" s="283"/>
      <c r="K3842" s="746"/>
      <c r="W3842" s="744"/>
    </row>
    <row r="3843" spans="5:23" ht="24" customHeight="1">
      <c r="E3843" s="374" t="s">
        <v>4095</v>
      </c>
      <c r="F3843" s="374"/>
      <c r="G3843" s="374"/>
      <c r="H3843" s="746">
        <f>4*3.9</f>
        <v>15.6</v>
      </c>
      <c r="I3843" s="374" t="s">
        <v>359</v>
      </c>
      <c r="K3843" s="746"/>
      <c r="W3843" s="744"/>
    </row>
    <row r="3844" spans="5:23" ht="24" customHeight="1">
      <c r="E3844" s="283" t="s">
        <v>4096</v>
      </c>
      <c r="H3844" s="283">
        <f>11*0.8*3.14</f>
        <v>27.63</v>
      </c>
      <c r="I3844" s="374" t="s">
        <v>359</v>
      </c>
      <c r="K3844" s="746"/>
      <c r="W3844" s="744"/>
    </row>
    <row r="3845" spans="5:23" ht="24" customHeight="1">
      <c r="E3845" s="283" t="s">
        <v>4097</v>
      </c>
      <c r="H3845" s="283">
        <f>2*1.2*1.2</f>
        <v>2.88</v>
      </c>
      <c r="I3845" s="374" t="s">
        <v>359</v>
      </c>
      <c r="K3845" s="746"/>
      <c r="W3845" s="744"/>
    </row>
    <row r="3846" spans="5:23" ht="24" customHeight="1">
      <c r="E3846" s="283" t="s">
        <v>4098</v>
      </c>
      <c r="H3846" s="283">
        <f>3*0.8*1.2</f>
        <v>2.88</v>
      </c>
      <c r="I3846" s="374" t="s">
        <v>359</v>
      </c>
      <c r="K3846" s="746"/>
      <c r="W3846" s="744"/>
    </row>
    <row r="3847" spans="5:23" ht="24" customHeight="1">
      <c r="E3847" s="283" t="s">
        <v>4099</v>
      </c>
      <c r="H3847" s="283">
        <v>5</v>
      </c>
      <c r="I3847" s="374"/>
      <c r="K3847" s="746"/>
      <c r="W3847" s="744"/>
    </row>
    <row r="3848" spans="5:23" ht="24" customHeight="1">
      <c r="H3848" s="785" t="s">
        <v>879</v>
      </c>
      <c r="I3848" s="374"/>
      <c r="K3848" s="746"/>
      <c r="W3848" s="744"/>
    </row>
    <row r="3849" spans="5:23" ht="24" customHeight="1">
      <c r="H3849" s="783">
        <f>SUM(H3843:H3847)</f>
        <v>53.99</v>
      </c>
      <c r="I3849" s="374" t="s">
        <v>359</v>
      </c>
      <c r="J3849" s="374">
        <f>H3849-51.7</f>
        <v>2.29</v>
      </c>
      <c r="K3849" s="746"/>
      <c r="W3849" s="744"/>
    </row>
    <row r="3850" spans="5:23" ht="24" customHeight="1">
      <c r="H3850" s="785" t="s">
        <v>879</v>
      </c>
      <c r="I3850" s="374"/>
      <c r="J3850" s="283"/>
      <c r="K3850" s="746"/>
      <c r="W3850" s="744"/>
    </row>
    <row r="3851" spans="5:23" ht="24" customHeight="1">
      <c r="I3851" s="374"/>
      <c r="J3851" s="283"/>
      <c r="K3851" s="746"/>
      <c r="W3851" s="744"/>
    </row>
    <row r="3852" spans="5:23" ht="24" customHeight="1">
      <c r="I3852" s="374"/>
      <c r="J3852" s="283"/>
      <c r="K3852" s="746"/>
      <c r="W3852" s="744"/>
    </row>
    <row r="3853" spans="5:23" ht="24" customHeight="1">
      <c r="E3853" s="746">
        <f>H3849</f>
        <v>53.99</v>
      </c>
      <c r="F3853" s="283" t="s">
        <v>1645</v>
      </c>
      <c r="G3853" s="283" t="s">
        <v>513</v>
      </c>
      <c r="H3853" s="283">
        <f>I2608</f>
        <v>70.150000000000006</v>
      </c>
      <c r="I3853" s="374" t="s">
        <v>1645</v>
      </c>
      <c r="J3853" s="283">
        <f>H3853*E3853</f>
        <v>3787.4</v>
      </c>
      <c r="K3853" s="746"/>
      <c r="W3853" s="744"/>
    </row>
    <row r="3854" spans="5:23" ht="24" customHeight="1">
      <c r="E3854" s="746">
        <v>0.96</v>
      </c>
      <c r="F3854" s="283" t="s">
        <v>2283</v>
      </c>
      <c r="G3854" s="283" t="s">
        <v>2122</v>
      </c>
      <c r="H3854" s="283">
        <f>I2609</f>
        <v>379.9</v>
      </c>
      <c r="I3854" s="374" t="s">
        <v>2283</v>
      </c>
      <c r="J3854" s="283">
        <f>H3854*E3854</f>
        <v>364.7</v>
      </c>
      <c r="K3854" s="746"/>
      <c r="W3854" s="744"/>
    </row>
    <row r="3855" spans="5:23" ht="24" customHeight="1">
      <c r="E3855" s="746">
        <v>0.96</v>
      </c>
      <c r="F3855" s="283" t="s">
        <v>2283</v>
      </c>
      <c r="G3855" s="283" t="s">
        <v>514</v>
      </c>
      <c r="H3855" s="283">
        <f>I2610</f>
        <v>40.65</v>
      </c>
      <c r="I3855" s="374" t="s">
        <v>2283</v>
      </c>
      <c r="J3855" s="283">
        <f>H3855*E3855</f>
        <v>39.020000000000003</v>
      </c>
      <c r="K3855" s="746"/>
      <c r="W3855" s="744"/>
    </row>
    <row r="3856" spans="5:23" ht="24" customHeight="1">
      <c r="G3856" s="283" t="s">
        <v>571</v>
      </c>
      <c r="H3856" s="283">
        <f>I2611</f>
        <v>266.81</v>
      </c>
      <c r="I3856" s="374" t="s">
        <v>449</v>
      </c>
      <c r="J3856" s="283">
        <f>H3856</f>
        <v>266.81</v>
      </c>
      <c r="K3856" s="746"/>
      <c r="W3856" s="744"/>
    </row>
    <row r="3857" spans="5:23" ht="24" customHeight="1">
      <c r="I3857" s="374"/>
      <c r="J3857" s="785" t="s">
        <v>146</v>
      </c>
      <c r="K3857" s="746"/>
      <c r="W3857" s="744"/>
    </row>
    <row r="3858" spans="5:23" ht="24" customHeight="1">
      <c r="G3858" s="751" t="s">
        <v>516</v>
      </c>
      <c r="I3858" s="374"/>
      <c r="J3858" s="751">
        <f>SUM(J3853:J3857)</f>
        <v>4457.93</v>
      </c>
      <c r="K3858" s="746"/>
      <c r="W3858" s="744"/>
    </row>
    <row r="3859" spans="5:23" ht="24" customHeight="1">
      <c r="I3859" s="374"/>
      <c r="J3859" s="785" t="s">
        <v>146</v>
      </c>
      <c r="K3859" s="746"/>
      <c r="W3859" s="744"/>
    </row>
    <row r="3860" spans="5:23" ht="24" customHeight="1">
      <c r="G3860" s="750" t="s">
        <v>2789</v>
      </c>
      <c r="I3860" s="374"/>
      <c r="J3860" s="751">
        <f>J3858/E3854</f>
        <v>4643.68</v>
      </c>
      <c r="K3860" s="746"/>
      <c r="W3860" s="744"/>
    </row>
    <row r="3861" spans="5:23" ht="24" customHeight="1">
      <c r="J3861" s="283"/>
      <c r="K3861" s="746"/>
      <c r="W3861" s="744"/>
    </row>
    <row r="3862" spans="5:23" ht="24" customHeight="1">
      <c r="G3862" s="751" t="s">
        <v>4100</v>
      </c>
      <c r="I3862" s="374">
        <f>1*0.8</f>
        <v>0.8</v>
      </c>
      <c r="J3862" s="283"/>
      <c r="K3862" s="746"/>
      <c r="W3862" s="744"/>
    </row>
    <row r="3863" spans="5:23" ht="24" customHeight="1">
      <c r="I3863" s="374"/>
      <c r="J3863" s="283"/>
      <c r="K3863" s="746"/>
      <c r="W3863" s="744"/>
    </row>
    <row r="3864" spans="5:23" ht="24" customHeight="1">
      <c r="E3864" s="374" t="s">
        <v>4101</v>
      </c>
      <c r="F3864" s="374"/>
      <c r="G3864" s="374"/>
      <c r="H3864" s="746">
        <f>3.6*3.9</f>
        <v>14.04</v>
      </c>
      <c r="I3864" s="374" t="s">
        <v>359</v>
      </c>
      <c r="K3864" s="746"/>
      <c r="W3864" s="744"/>
    </row>
    <row r="3865" spans="5:23" ht="24" customHeight="1">
      <c r="E3865" s="283" t="s">
        <v>4102</v>
      </c>
      <c r="H3865" s="283">
        <f>9*0.8*3.14</f>
        <v>22.61</v>
      </c>
      <c r="I3865" s="374" t="s">
        <v>359</v>
      </c>
      <c r="K3865" s="746"/>
      <c r="W3865" s="744"/>
    </row>
    <row r="3866" spans="5:23" ht="24" customHeight="1">
      <c r="E3866" s="283" t="s">
        <v>4103</v>
      </c>
      <c r="H3866" s="283">
        <f>2*1*1.2</f>
        <v>2.4</v>
      </c>
      <c r="I3866" s="374" t="s">
        <v>359</v>
      </c>
      <c r="K3866" s="746"/>
      <c r="W3866" s="744"/>
    </row>
    <row r="3867" spans="5:23" ht="24" customHeight="1">
      <c r="E3867" s="283" t="s">
        <v>4098</v>
      </c>
      <c r="H3867" s="283">
        <f>3*0.8*1.2</f>
        <v>2.88</v>
      </c>
      <c r="I3867" s="374" t="s">
        <v>359</v>
      </c>
      <c r="K3867" s="746"/>
      <c r="W3867" s="744"/>
    </row>
    <row r="3868" spans="5:23" ht="24" customHeight="1">
      <c r="E3868" s="283" t="s">
        <v>4099</v>
      </c>
      <c r="H3868" s="283">
        <v>5</v>
      </c>
      <c r="I3868" s="374"/>
      <c r="K3868" s="746"/>
      <c r="W3868" s="744"/>
    </row>
    <row r="3869" spans="5:23" ht="24" customHeight="1">
      <c r="H3869" s="785" t="s">
        <v>879</v>
      </c>
      <c r="I3869" s="374"/>
      <c r="K3869" s="746"/>
      <c r="W3869" s="744"/>
    </row>
    <row r="3870" spans="5:23" ht="24" customHeight="1">
      <c r="H3870" s="783">
        <f>SUM(H3864:H3868)</f>
        <v>46.93</v>
      </c>
      <c r="I3870" s="374" t="s">
        <v>359</v>
      </c>
      <c r="K3870" s="746"/>
      <c r="W3870" s="744"/>
    </row>
    <row r="3871" spans="5:23" ht="24" customHeight="1">
      <c r="H3871" s="785" t="s">
        <v>879</v>
      </c>
      <c r="I3871" s="374"/>
      <c r="J3871" s="283"/>
      <c r="K3871" s="746"/>
      <c r="W3871" s="744"/>
    </row>
    <row r="3872" spans="5:23" ht="24" customHeight="1">
      <c r="I3872" s="374"/>
      <c r="J3872" s="283"/>
      <c r="K3872" s="746"/>
      <c r="W3872" s="744"/>
    </row>
    <row r="3873" spans="5:23" ht="24" customHeight="1">
      <c r="I3873" s="374"/>
      <c r="J3873" s="283"/>
      <c r="K3873" s="746"/>
      <c r="W3873" s="744"/>
    </row>
    <row r="3874" spans="5:23" ht="24" customHeight="1">
      <c r="E3874" s="746">
        <f>H3870</f>
        <v>46.93</v>
      </c>
      <c r="F3874" s="283" t="s">
        <v>1645</v>
      </c>
      <c r="G3874" s="283" t="s">
        <v>513</v>
      </c>
      <c r="H3874" s="283">
        <f>H3853</f>
        <v>70.150000000000006</v>
      </c>
      <c r="I3874" s="374" t="s">
        <v>1645</v>
      </c>
      <c r="J3874" s="283">
        <f>H3874*E3874</f>
        <v>3292.14</v>
      </c>
      <c r="K3874" s="746"/>
      <c r="W3874" s="744"/>
    </row>
    <row r="3875" spans="5:23" ht="24" customHeight="1">
      <c r="E3875" s="283">
        <v>0.8</v>
      </c>
      <c r="F3875" s="283" t="s">
        <v>2283</v>
      </c>
      <c r="G3875" s="283" t="s">
        <v>2122</v>
      </c>
      <c r="H3875" s="283">
        <f>H3854</f>
        <v>379.9</v>
      </c>
      <c r="I3875" s="374" t="s">
        <v>2283</v>
      </c>
      <c r="J3875" s="283">
        <f>H3875*E3875</f>
        <v>303.92</v>
      </c>
      <c r="K3875" s="746"/>
      <c r="W3875" s="744"/>
    </row>
    <row r="3876" spans="5:23" ht="24" customHeight="1">
      <c r="E3876" s="283">
        <v>0.8</v>
      </c>
      <c r="F3876" s="283" t="s">
        <v>2283</v>
      </c>
      <c r="G3876" s="283" t="s">
        <v>514</v>
      </c>
      <c r="H3876" s="283">
        <f>H3855</f>
        <v>40.65</v>
      </c>
      <c r="I3876" s="374" t="s">
        <v>2283</v>
      </c>
      <c r="J3876" s="283">
        <f>H3876*E3876</f>
        <v>32.520000000000003</v>
      </c>
      <c r="K3876" s="746"/>
      <c r="W3876" s="744"/>
    </row>
    <row r="3877" spans="5:23" ht="24" customHeight="1">
      <c r="G3877" s="283" t="s">
        <v>571</v>
      </c>
      <c r="H3877" s="283">
        <f>H3856</f>
        <v>266.81</v>
      </c>
      <c r="I3877" s="374" t="s">
        <v>449</v>
      </c>
      <c r="J3877" s="283">
        <v>47.1</v>
      </c>
      <c r="K3877" s="746"/>
      <c r="W3877" s="744"/>
    </row>
    <row r="3878" spans="5:23" ht="24" customHeight="1">
      <c r="I3878" s="374"/>
      <c r="J3878" s="785" t="s">
        <v>146</v>
      </c>
      <c r="K3878" s="746"/>
      <c r="W3878" s="744"/>
    </row>
    <row r="3879" spans="5:23" ht="24" customHeight="1">
      <c r="G3879" s="751" t="s">
        <v>516</v>
      </c>
      <c r="I3879" s="374"/>
      <c r="J3879" s="751">
        <f>SUM(J3874:J3878)</f>
        <v>3675.68</v>
      </c>
      <c r="K3879" s="746"/>
      <c r="W3879" s="744"/>
    </row>
    <row r="3880" spans="5:23" ht="24" customHeight="1">
      <c r="I3880" s="374"/>
      <c r="J3880" s="785" t="s">
        <v>146</v>
      </c>
      <c r="K3880" s="746"/>
      <c r="W3880" s="744"/>
    </row>
    <row r="3881" spans="5:23" ht="24" customHeight="1">
      <c r="G3881" s="750" t="s">
        <v>2789</v>
      </c>
      <c r="I3881" s="374"/>
      <c r="J3881" s="751">
        <f>J3879/E3875</f>
        <v>4594.6000000000004</v>
      </c>
      <c r="K3881" s="746"/>
      <c r="W3881" s="744"/>
    </row>
    <row r="3882" spans="5:23" ht="24" customHeight="1">
      <c r="E3882" s="283" t="s">
        <v>511</v>
      </c>
      <c r="H3882" s="283">
        <v>3.24</v>
      </c>
      <c r="I3882" s="374" t="s">
        <v>359</v>
      </c>
      <c r="J3882" s="283"/>
      <c r="K3882" s="746"/>
      <c r="W3882" s="744"/>
    </row>
    <row r="3883" spans="5:23" ht="24" customHeight="1">
      <c r="E3883" s="283" t="s">
        <v>512</v>
      </c>
      <c r="H3883" s="283">
        <v>2.16</v>
      </c>
      <c r="I3883" s="374" t="s">
        <v>359</v>
      </c>
      <c r="J3883" s="283"/>
      <c r="K3883" s="746"/>
      <c r="W3883" s="744"/>
    </row>
    <row r="3884" spans="5:23" ht="24" customHeight="1">
      <c r="I3884" s="374"/>
      <c r="J3884" s="283"/>
      <c r="K3884" s="746"/>
      <c r="W3884" s="744"/>
    </row>
    <row r="3885" spans="5:23" ht="24" customHeight="1">
      <c r="H3885" s="785" t="s">
        <v>146</v>
      </c>
      <c r="I3885" s="374"/>
      <c r="J3885" s="283"/>
      <c r="K3885" s="746"/>
      <c r="W3885" s="744"/>
    </row>
    <row r="3886" spans="5:23" ht="24" customHeight="1">
      <c r="H3886" s="283">
        <f>SUM(H3880:H3884)</f>
        <v>5.4</v>
      </c>
      <c r="I3886" s="374"/>
      <c r="J3886" s="283"/>
      <c r="K3886" s="746"/>
      <c r="W3886" s="744"/>
    </row>
    <row r="3887" spans="5:23" ht="24" customHeight="1">
      <c r="H3887" s="283" t="s">
        <v>1685</v>
      </c>
      <c r="I3887" s="374"/>
      <c r="J3887" s="283"/>
      <c r="K3887" s="746"/>
      <c r="W3887" s="744"/>
    </row>
    <row r="3888" spans="5:23" ht="24" customHeight="1">
      <c r="I3888" s="374"/>
      <c r="J3888" s="283"/>
      <c r="K3888" s="746"/>
      <c r="W3888" s="744"/>
    </row>
    <row r="3889" spans="5:23" ht="24" customHeight="1">
      <c r="I3889" s="374"/>
      <c r="J3889" s="283"/>
      <c r="K3889" s="746"/>
      <c r="W3889" s="744"/>
    </row>
    <row r="3890" spans="5:23" ht="24" customHeight="1">
      <c r="E3890" s="283">
        <v>42.81</v>
      </c>
      <c r="F3890" s="283" t="s">
        <v>1645</v>
      </c>
      <c r="G3890" s="283" t="s">
        <v>513</v>
      </c>
      <c r="H3890" s="283">
        <f>H3874</f>
        <v>70.150000000000006</v>
      </c>
      <c r="I3890" s="374" t="s">
        <v>1645</v>
      </c>
      <c r="J3890" s="283">
        <f>H3890*E3890</f>
        <v>3003.12</v>
      </c>
      <c r="K3890" s="746"/>
      <c r="W3890" s="744"/>
    </row>
    <row r="3891" spans="5:23" ht="24" customHeight="1">
      <c r="E3891" s="283">
        <v>0.77</v>
      </c>
      <c r="F3891" s="283" t="s">
        <v>2283</v>
      </c>
      <c r="G3891" s="283" t="s">
        <v>2450</v>
      </c>
      <c r="H3891" s="283">
        <f>H3875</f>
        <v>379.9</v>
      </c>
      <c r="I3891" s="374" t="s">
        <v>2283</v>
      </c>
      <c r="J3891" s="283">
        <f>H3891*E3891</f>
        <v>292.52</v>
      </c>
      <c r="K3891" s="746"/>
      <c r="W3891" s="744"/>
    </row>
    <row r="3892" spans="5:23" ht="24" customHeight="1">
      <c r="E3892" s="283">
        <v>0.77</v>
      </c>
      <c r="F3892" s="283" t="s">
        <v>2283</v>
      </c>
      <c r="G3892" s="283" t="s">
        <v>1951</v>
      </c>
      <c r="H3892" s="283">
        <f>H3876</f>
        <v>40.65</v>
      </c>
      <c r="I3892" s="374" t="s">
        <v>2283</v>
      </c>
      <c r="J3892" s="283">
        <f>H3892*E3892</f>
        <v>31.3</v>
      </c>
      <c r="K3892" s="746"/>
      <c r="W3892" s="744"/>
    </row>
    <row r="3893" spans="5:23" ht="24" customHeight="1">
      <c r="G3893" s="283" t="s">
        <v>515</v>
      </c>
      <c r="H3893" s="283">
        <f>H3877</f>
        <v>266.81</v>
      </c>
      <c r="I3893" s="374" t="s">
        <v>449</v>
      </c>
      <c r="J3893" s="283">
        <f>H3893</f>
        <v>266.81</v>
      </c>
      <c r="K3893" s="746"/>
      <c r="W3893" s="744"/>
    </row>
    <row r="3894" spans="5:23" ht="24" customHeight="1">
      <c r="I3894" s="374"/>
      <c r="J3894" s="785" t="s">
        <v>146</v>
      </c>
      <c r="K3894" s="746"/>
      <c r="W3894" s="744"/>
    </row>
    <row r="3895" spans="5:23" ht="24" customHeight="1">
      <c r="G3895" s="751" t="s">
        <v>516</v>
      </c>
      <c r="I3895" s="374"/>
      <c r="J3895" s="751">
        <f>SUM(J3890:J3893)</f>
        <v>3593.75</v>
      </c>
      <c r="K3895" s="746"/>
      <c r="W3895" s="744"/>
    </row>
    <row r="3896" spans="5:23" ht="24" customHeight="1">
      <c r="I3896" s="374"/>
      <c r="J3896" s="785" t="s">
        <v>146</v>
      </c>
      <c r="K3896" s="746"/>
      <c r="W3896" s="744"/>
    </row>
    <row r="3897" spans="5:23" ht="24" customHeight="1">
      <c r="G3897" s="283">
        <f>1.285*0.6</f>
        <v>0.77</v>
      </c>
      <c r="I3897" s="374"/>
      <c r="J3897" s="283">
        <f>J3895/G3897</f>
        <v>4667.21</v>
      </c>
      <c r="K3897" s="746"/>
      <c r="W3897" s="744"/>
    </row>
    <row r="3898" spans="5:23" ht="24" customHeight="1">
      <c r="E3898" s="283">
        <f>C3891</f>
        <v>0</v>
      </c>
      <c r="G3898" s="374">
        <f>E3898*D3857</f>
        <v>0</v>
      </c>
      <c r="J3898" s="283"/>
      <c r="K3898" s="746"/>
      <c r="W3898" s="744"/>
    </row>
    <row r="3899" spans="5:23" ht="24" customHeight="1">
      <c r="G3899" s="374">
        <v>0.8</v>
      </c>
      <c r="J3899" s="283"/>
      <c r="K3899" s="746"/>
      <c r="W3899" s="744"/>
    </row>
    <row r="3900" spans="5:23" ht="24" customHeight="1">
      <c r="G3900" s="374">
        <f>SUM(G3896:G3899)</f>
        <v>1.57</v>
      </c>
      <c r="J3900" s="283"/>
      <c r="K3900" s="746"/>
      <c r="W3900" s="744"/>
    </row>
    <row r="3901" spans="5:23" ht="24" customHeight="1">
      <c r="G3901" s="374">
        <f>G3900/0.77</f>
        <v>2.04</v>
      </c>
      <c r="J3901" s="283"/>
      <c r="K3901" s="746"/>
      <c r="W3901" s="744"/>
    </row>
    <row r="3902" spans="5:23" ht="24" customHeight="1">
      <c r="H3902" s="751" t="s">
        <v>4309</v>
      </c>
      <c r="J3902" s="283"/>
      <c r="K3902" s="746"/>
      <c r="W3902" s="744"/>
    </row>
    <row r="3903" spans="5:23" ht="24" customHeight="1">
      <c r="F3903" s="744" t="s">
        <v>1323</v>
      </c>
      <c r="G3903" s="283" t="s">
        <v>2251</v>
      </c>
      <c r="H3903" s="374" t="s">
        <v>2031</v>
      </c>
      <c r="W3903" s="744"/>
    </row>
    <row r="3904" spans="5:23" ht="24" customHeight="1">
      <c r="H3904" s="374" t="s">
        <v>2032</v>
      </c>
      <c r="W3904" s="744"/>
    </row>
    <row r="3905" spans="7:23" ht="24" customHeight="1">
      <c r="H3905" s="374" t="s">
        <v>2033</v>
      </c>
      <c r="W3905" s="744"/>
    </row>
    <row r="3906" spans="7:23" ht="24" customHeight="1">
      <c r="H3906" s="374" t="s">
        <v>891</v>
      </c>
      <c r="W3906" s="744"/>
    </row>
    <row r="3907" spans="7:23" ht="24" customHeight="1">
      <c r="H3907" s="374" t="s">
        <v>892</v>
      </c>
      <c r="W3907" s="744"/>
    </row>
    <row r="3908" spans="7:23" ht="24" customHeight="1">
      <c r="H3908" s="374" t="s">
        <v>1721</v>
      </c>
      <c r="W3908" s="744"/>
    </row>
    <row r="3909" spans="7:23" ht="24" customHeight="1">
      <c r="H3909" s="374" t="s">
        <v>93</v>
      </c>
      <c r="W3909" s="744"/>
    </row>
    <row r="3910" spans="7:23" ht="24" customHeight="1">
      <c r="H3910" s="374" t="s">
        <v>94</v>
      </c>
      <c r="W3910" s="744"/>
    </row>
    <row r="3911" spans="7:23" ht="24" customHeight="1">
      <c r="H3911" s="374" t="s">
        <v>95</v>
      </c>
      <c r="W3911" s="744"/>
    </row>
    <row r="3912" spans="7:23" ht="24" customHeight="1">
      <c r="H3912" s="374" t="s">
        <v>96</v>
      </c>
      <c r="W3912" s="744"/>
    </row>
    <row r="3913" spans="7:23" ht="24" customHeight="1">
      <c r="H3913" s="374" t="s">
        <v>2053</v>
      </c>
      <c r="W3913" s="744"/>
    </row>
    <row r="3914" spans="7:23" ht="24" customHeight="1">
      <c r="H3914" s="374" t="s">
        <v>1028</v>
      </c>
      <c r="W3914" s="744"/>
    </row>
    <row r="3915" spans="7:23" ht="24" customHeight="1">
      <c r="H3915" s="374" t="s">
        <v>1778</v>
      </c>
      <c r="W3915" s="744"/>
    </row>
    <row r="3916" spans="7:23" ht="24" customHeight="1">
      <c r="H3916" s="374" t="s">
        <v>1779</v>
      </c>
      <c r="W3916" s="744"/>
    </row>
    <row r="3917" spans="7:23" ht="24" customHeight="1">
      <c r="W3917" s="744"/>
    </row>
    <row r="3918" spans="7:23" ht="24" customHeight="1">
      <c r="W3918" s="744"/>
    </row>
    <row r="3919" spans="7:23" ht="24" customHeight="1">
      <c r="G3919" s="283" t="s">
        <v>316</v>
      </c>
      <c r="H3919" s="744" t="s">
        <v>1776</v>
      </c>
      <c r="W3919" s="744"/>
    </row>
    <row r="3920" spans="7:23" ht="24" customHeight="1">
      <c r="H3920" s="744" t="s">
        <v>1781</v>
      </c>
      <c r="W3920" s="744"/>
    </row>
    <row r="3921" spans="6:23" ht="24" customHeight="1">
      <c r="F3921" s="782">
        <v>3.8100000000000002E-2</v>
      </c>
      <c r="G3921" s="283" t="s">
        <v>869</v>
      </c>
      <c r="H3921" s="374" t="s">
        <v>2073</v>
      </c>
      <c r="I3921" s="283">
        <f>K822</f>
        <v>8644.8799999999992</v>
      </c>
      <c r="J3921" s="374" t="s">
        <v>869</v>
      </c>
      <c r="K3921" s="283">
        <f>F3921*I3921</f>
        <v>329.37</v>
      </c>
      <c r="W3921" s="744"/>
    </row>
    <row r="3922" spans="6:23" ht="24" customHeight="1">
      <c r="F3922" s="785">
        <v>5.01</v>
      </c>
      <c r="G3922" s="283" t="s">
        <v>1645</v>
      </c>
      <c r="H3922" s="374" t="s">
        <v>2074</v>
      </c>
      <c r="I3922" s="283">
        <f>K1609</f>
        <v>88873.5</v>
      </c>
      <c r="J3922" s="374" t="s">
        <v>861</v>
      </c>
      <c r="K3922" s="283">
        <f>F3922*I3922/1000</f>
        <v>445.26</v>
      </c>
      <c r="W3922" s="744"/>
    </row>
    <row r="3923" spans="6:23" ht="24" customHeight="1">
      <c r="F3923" s="283">
        <v>3</v>
      </c>
      <c r="G3923" s="283" t="s">
        <v>868</v>
      </c>
      <c r="H3923" s="374" t="s">
        <v>1186</v>
      </c>
      <c r="I3923" s="283">
        <v>14.8</v>
      </c>
      <c r="J3923" s="374" t="s">
        <v>868</v>
      </c>
      <c r="K3923" s="283">
        <f t="shared" ref="K3923:K3930" si="371">F3923*I3923</f>
        <v>44.4</v>
      </c>
      <c r="W3923" s="744"/>
    </row>
    <row r="3924" spans="6:23" ht="24" customHeight="1">
      <c r="F3924" s="283">
        <v>12</v>
      </c>
      <c r="G3924" s="283" t="s">
        <v>868</v>
      </c>
      <c r="H3924" s="374" t="s">
        <v>1187</v>
      </c>
      <c r="I3924" s="283">
        <v>2</v>
      </c>
      <c r="J3924" s="374" t="s">
        <v>868</v>
      </c>
      <c r="K3924" s="283">
        <f t="shared" si="371"/>
        <v>24</v>
      </c>
      <c r="W3924" s="744"/>
    </row>
    <row r="3925" spans="6:23" ht="24" customHeight="1">
      <c r="F3925" s="283">
        <v>2</v>
      </c>
      <c r="G3925" s="283" t="s">
        <v>868</v>
      </c>
      <c r="H3925" s="374" t="s">
        <v>1188</v>
      </c>
      <c r="I3925" s="283">
        <v>4.9000000000000004</v>
      </c>
      <c r="J3925" s="374" t="s">
        <v>868</v>
      </c>
      <c r="K3925" s="283">
        <f t="shared" si="371"/>
        <v>9.8000000000000007</v>
      </c>
      <c r="W3925" s="744"/>
    </row>
    <row r="3926" spans="6:23" ht="24" customHeight="1">
      <c r="F3926" s="283">
        <v>6</v>
      </c>
      <c r="G3926" s="283" t="s">
        <v>868</v>
      </c>
      <c r="H3926" s="374" t="s">
        <v>2220</v>
      </c>
      <c r="I3926" s="283">
        <v>4.45</v>
      </c>
      <c r="J3926" s="374" t="s">
        <v>868</v>
      </c>
      <c r="K3926" s="283">
        <f t="shared" si="371"/>
        <v>26.7</v>
      </c>
      <c r="W3926" s="744"/>
    </row>
    <row r="3927" spans="6:23" ht="24" customHeight="1">
      <c r="F3927" s="283">
        <v>1</v>
      </c>
      <c r="G3927" s="283" t="s">
        <v>868</v>
      </c>
      <c r="H3927" s="374" t="s">
        <v>1193</v>
      </c>
      <c r="I3927" s="283">
        <f>I866</f>
        <v>999</v>
      </c>
      <c r="J3927" s="374" t="s">
        <v>868</v>
      </c>
      <c r="K3927" s="283">
        <f t="shared" si="371"/>
        <v>999</v>
      </c>
      <c r="W3927" s="744"/>
    </row>
    <row r="3928" spans="6:23" ht="24" customHeight="1">
      <c r="F3928" s="283">
        <v>1</v>
      </c>
      <c r="G3928" s="283" t="s">
        <v>868</v>
      </c>
      <c r="H3928" s="374" t="s">
        <v>1194</v>
      </c>
      <c r="I3928" s="283">
        <f>I867</f>
        <v>651</v>
      </c>
      <c r="J3928" s="374" t="s">
        <v>868</v>
      </c>
      <c r="K3928" s="283">
        <f t="shared" si="371"/>
        <v>651</v>
      </c>
      <c r="W3928" s="744"/>
    </row>
    <row r="3929" spans="6:23" ht="24" customHeight="1">
      <c r="F3929" s="283">
        <v>1</v>
      </c>
      <c r="G3929" s="283" t="s">
        <v>868</v>
      </c>
      <c r="H3929" s="374" t="s">
        <v>1195</v>
      </c>
      <c r="I3929" s="283">
        <v>25</v>
      </c>
      <c r="J3929" s="374" t="s">
        <v>868</v>
      </c>
      <c r="K3929" s="283">
        <f t="shared" si="371"/>
        <v>25</v>
      </c>
      <c r="W3929" s="744"/>
    </row>
    <row r="3930" spans="6:23" ht="24" customHeight="1">
      <c r="F3930" s="283">
        <v>0.5</v>
      </c>
      <c r="G3930" s="283" t="s">
        <v>868</v>
      </c>
      <c r="H3930" s="374" t="s">
        <v>1196</v>
      </c>
      <c r="I3930" s="283">
        <f>I869</f>
        <v>534</v>
      </c>
      <c r="J3930" s="374" t="s">
        <v>868</v>
      </c>
      <c r="K3930" s="283">
        <f t="shared" si="371"/>
        <v>267</v>
      </c>
      <c r="W3930" s="744"/>
    </row>
    <row r="3931" spans="6:23" ht="24" customHeight="1">
      <c r="G3931" s="283" t="s">
        <v>449</v>
      </c>
      <c r="H3931" s="374" t="s">
        <v>2139</v>
      </c>
      <c r="J3931" s="374" t="s">
        <v>449</v>
      </c>
      <c r="K3931" s="283">
        <v>1.1299999999999999</v>
      </c>
      <c r="W3931" s="744"/>
    </row>
    <row r="3932" spans="6:23" ht="24" customHeight="1">
      <c r="K3932" s="748" t="s">
        <v>1586</v>
      </c>
      <c r="W3932" s="744"/>
    </row>
    <row r="3933" spans="6:23" ht="24" customHeight="1">
      <c r="H3933" s="757" t="s">
        <v>283</v>
      </c>
      <c r="K3933" s="751">
        <f>SUM(K3921:K3931)</f>
        <v>2822.66</v>
      </c>
      <c r="W3933" s="744"/>
    </row>
    <row r="3934" spans="6:23" ht="24" customHeight="1">
      <c r="K3934" s="748" t="s">
        <v>1586</v>
      </c>
      <c r="W3934" s="744"/>
    </row>
    <row r="3935" spans="6:23" ht="24" customHeight="1">
      <c r="W3935" s="744"/>
    </row>
    <row r="3936" spans="6:23" ht="24" customHeight="1">
      <c r="W3936" s="744"/>
    </row>
    <row r="3937" spans="6:23" ht="24" customHeight="1">
      <c r="G3937" s="283" t="s">
        <v>1907</v>
      </c>
      <c r="H3937" s="744" t="s">
        <v>1780</v>
      </c>
      <c r="W3937" s="744"/>
    </row>
    <row r="3938" spans="6:23" ht="24" customHeight="1">
      <c r="H3938" s="744" t="s">
        <v>1781</v>
      </c>
      <c r="W3938" s="744"/>
    </row>
    <row r="3939" spans="6:23" ht="24" customHeight="1">
      <c r="F3939" s="782">
        <v>3.6799999999999999E-2</v>
      </c>
      <c r="G3939" s="283" t="s">
        <v>869</v>
      </c>
      <c r="H3939" s="777" t="s">
        <v>6144</v>
      </c>
      <c r="I3939" s="283">
        <f t="shared" ref="I3939:I3946" si="372">I3921</f>
        <v>8644.8799999999992</v>
      </c>
      <c r="J3939" s="374" t="s">
        <v>869</v>
      </c>
      <c r="K3939" s="283">
        <f>F3939*I3939</f>
        <v>318.13</v>
      </c>
      <c r="W3939" s="744"/>
    </row>
    <row r="3940" spans="6:23" ht="46.5" customHeight="1">
      <c r="F3940" s="283">
        <v>4.87</v>
      </c>
      <c r="G3940" s="283" t="s">
        <v>1645</v>
      </c>
      <c r="H3940" s="374" t="s">
        <v>2074</v>
      </c>
      <c r="I3940" s="283">
        <f t="shared" si="372"/>
        <v>88873.5</v>
      </c>
      <c r="J3940" s="374" t="s">
        <v>861</v>
      </c>
      <c r="K3940" s="283">
        <f>F3940*I3940/1000</f>
        <v>432.81</v>
      </c>
      <c r="W3940" s="744"/>
    </row>
    <row r="3941" spans="6:23" ht="24" customHeight="1">
      <c r="F3941" s="283">
        <v>3</v>
      </c>
      <c r="G3941" s="283" t="s">
        <v>868</v>
      </c>
      <c r="H3941" s="374" t="s">
        <v>1186</v>
      </c>
      <c r="I3941" s="283">
        <f t="shared" si="372"/>
        <v>14.8</v>
      </c>
      <c r="J3941" s="374" t="s">
        <v>868</v>
      </c>
      <c r="K3941" s="283">
        <f t="shared" ref="K3941:K3948" si="373">F3941*I3941</f>
        <v>44.4</v>
      </c>
      <c r="W3941" s="744"/>
    </row>
    <row r="3942" spans="6:23" ht="24" customHeight="1">
      <c r="F3942" s="283">
        <v>12</v>
      </c>
      <c r="G3942" s="283" t="s">
        <v>868</v>
      </c>
      <c r="H3942" s="374" t="s">
        <v>1187</v>
      </c>
      <c r="I3942" s="283">
        <f t="shared" si="372"/>
        <v>2</v>
      </c>
      <c r="J3942" s="374" t="s">
        <v>868</v>
      </c>
      <c r="K3942" s="283">
        <f t="shared" si="373"/>
        <v>24</v>
      </c>
      <c r="W3942" s="744"/>
    </row>
    <row r="3943" spans="6:23" ht="24" customHeight="1">
      <c r="F3943" s="283">
        <v>2</v>
      </c>
      <c r="G3943" s="283" t="s">
        <v>868</v>
      </c>
      <c r="H3943" s="374" t="s">
        <v>1188</v>
      </c>
      <c r="I3943" s="283">
        <f t="shared" si="372"/>
        <v>4.9000000000000004</v>
      </c>
      <c r="J3943" s="374" t="s">
        <v>868</v>
      </c>
      <c r="K3943" s="283">
        <f t="shared" si="373"/>
        <v>9.8000000000000007</v>
      </c>
      <c r="W3943" s="744"/>
    </row>
    <row r="3944" spans="6:23" ht="24" customHeight="1">
      <c r="F3944" s="283">
        <v>6</v>
      </c>
      <c r="G3944" s="283" t="s">
        <v>868</v>
      </c>
      <c r="H3944" s="374" t="s">
        <v>2220</v>
      </c>
      <c r="I3944" s="283">
        <f t="shared" si="372"/>
        <v>4.45</v>
      </c>
      <c r="J3944" s="374" t="s">
        <v>868</v>
      </c>
      <c r="K3944" s="283">
        <f t="shared" si="373"/>
        <v>26.7</v>
      </c>
      <c r="W3944" s="744"/>
    </row>
    <row r="3945" spans="6:23" ht="24" customHeight="1">
      <c r="F3945" s="283">
        <v>1</v>
      </c>
      <c r="G3945" s="283" t="s">
        <v>868</v>
      </c>
      <c r="H3945" s="374" t="s">
        <v>1193</v>
      </c>
      <c r="I3945" s="283">
        <f t="shared" si="372"/>
        <v>999</v>
      </c>
      <c r="J3945" s="374" t="s">
        <v>868</v>
      </c>
      <c r="K3945" s="283">
        <f t="shared" si="373"/>
        <v>999</v>
      </c>
      <c r="W3945" s="744"/>
    </row>
    <row r="3946" spans="6:23" ht="24" customHeight="1">
      <c r="F3946" s="283">
        <v>1</v>
      </c>
      <c r="G3946" s="283" t="s">
        <v>868</v>
      </c>
      <c r="H3946" s="374" t="s">
        <v>1194</v>
      </c>
      <c r="I3946" s="283">
        <f t="shared" si="372"/>
        <v>651</v>
      </c>
      <c r="J3946" s="374" t="s">
        <v>868</v>
      </c>
      <c r="K3946" s="283">
        <f t="shared" si="373"/>
        <v>651</v>
      </c>
      <c r="W3946" s="744"/>
    </row>
    <row r="3947" spans="6:23" ht="24" customHeight="1">
      <c r="F3947" s="283">
        <v>1</v>
      </c>
      <c r="G3947" s="283" t="s">
        <v>868</v>
      </c>
      <c r="H3947" s="374" t="s">
        <v>1195</v>
      </c>
      <c r="I3947" s="283">
        <v>25</v>
      </c>
      <c r="J3947" s="374" t="s">
        <v>868</v>
      </c>
      <c r="K3947" s="283">
        <f t="shared" si="373"/>
        <v>25</v>
      </c>
      <c r="W3947" s="744"/>
    </row>
    <row r="3948" spans="6:23" ht="24" customHeight="1">
      <c r="F3948" s="283">
        <v>0.5</v>
      </c>
      <c r="G3948" s="283" t="s">
        <v>868</v>
      </c>
      <c r="H3948" s="374" t="s">
        <v>1196</v>
      </c>
      <c r="I3948" s="283">
        <f>I3930</f>
        <v>534</v>
      </c>
      <c r="J3948" s="374" t="s">
        <v>868</v>
      </c>
      <c r="K3948" s="283">
        <f t="shared" si="373"/>
        <v>267</v>
      </c>
      <c r="W3948" s="744"/>
    </row>
    <row r="3949" spans="6:23" ht="24" customHeight="1">
      <c r="G3949" s="283" t="s">
        <v>449</v>
      </c>
      <c r="H3949" s="374" t="s">
        <v>2139</v>
      </c>
      <c r="J3949" s="374" t="s">
        <v>449</v>
      </c>
      <c r="K3949" s="283">
        <f>1.9+0.08</f>
        <v>1.98</v>
      </c>
      <c r="W3949" s="744"/>
    </row>
    <row r="3950" spans="6:23" ht="24" customHeight="1">
      <c r="K3950" s="748" t="s">
        <v>1586</v>
      </c>
      <c r="W3950" s="744"/>
    </row>
    <row r="3951" spans="6:23" ht="24" customHeight="1">
      <c r="H3951" s="757" t="s">
        <v>283</v>
      </c>
      <c r="K3951" s="751">
        <f>SUM(K3939:K3949)</f>
        <v>2799.82</v>
      </c>
      <c r="L3951" s="283">
        <f>K3951-1729</f>
        <v>1070.82</v>
      </c>
      <c r="W3951" s="744"/>
    </row>
    <row r="3952" spans="6:23" ht="24" customHeight="1">
      <c r="K3952" s="748" t="s">
        <v>1586</v>
      </c>
      <c r="W3952" s="744"/>
    </row>
    <row r="3953" spans="6:23" ht="24" customHeight="1">
      <c r="F3953" s="744"/>
      <c r="G3953" s="283" t="s">
        <v>520</v>
      </c>
      <c r="H3953" s="744" t="s">
        <v>563</v>
      </c>
      <c r="W3953" s="744"/>
    </row>
    <row r="3954" spans="6:23" ht="24" customHeight="1">
      <c r="H3954" s="744" t="s">
        <v>1781</v>
      </c>
      <c r="W3954" s="744"/>
    </row>
    <row r="3955" spans="6:23" ht="24" customHeight="1">
      <c r="F3955" s="782">
        <v>3.5299999999999998E-2</v>
      </c>
      <c r="G3955" s="283" t="s">
        <v>869</v>
      </c>
      <c r="H3955" s="374" t="s">
        <v>2073</v>
      </c>
      <c r="I3955" s="283">
        <f t="shared" ref="I3955:I3960" si="374">I3939</f>
        <v>8644.8799999999992</v>
      </c>
      <c r="J3955" s="374" t="s">
        <v>869</v>
      </c>
      <c r="K3955" s="283">
        <f>F3955*I3955</f>
        <v>305.16000000000003</v>
      </c>
      <c r="W3955" s="744"/>
    </row>
    <row r="3956" spans="6:23" ht="24" customHeight="1">
      <c r="F3956" s="283">
        <v>4.59</v>
      </c>
      <c r="G3956" s="283" t="s">
        <v>1645</v>
      </c>
      <c r="H3956" s="374" t="s">
        <v>2074</v>
      </c>
      <c r="I3956" s="283">
        <f t="shared" si="374"/>
        <v>88873.5</v>
      </c>
      <c r="J3956" s="374" t="s">
        <v>861</v>
      </c>
      <c r="K3956" s="283">
        <f>F3956*I3956/1000</f>
        <v>407.93</v>
      </c>
      <c r="W3956" s="744"/>
    </row>
    <row r="3957" spans="6:23" ht="24" customHeight="1">
      <c r="F3957" s="283">
        <v>3</v>
      </c>
      <c r="G3957" s="283" t="s">
        <v>868</v>
      </c>
      <c r="H3957" s="374" t="s">
        <v>1186</v>
      </c>
      <c r="I3957" s="283">
        <f t="shared" si="374"/>
        <v>14.8</v>
      </c>
      <c r="J3957" s="374" t="s">
        <v>868</v>
      </c>
      <c r="K3957" s="283">
        <f t="shared" ref="K3957:K3964" si="375">F3957*I3957</f>
        <v>44.4</v>
      </c>
      <c r="W3957" s="744"/>
    </row>
    <row r="3958" spans="6:23" ht="24" customHeight="1">
      <c r="F3958" s="283">
        <v>12</v>
      </c>
      <c r="G3958" s="283" t="s">
        <v>868</v>
      </c>
      <c r="H3958" s="374" t="s">
        <v>1187</v>
      </c>
      <c r="I3958" s="283">
        <f t="shared" si="374"/>
        <v>2</v>
      </c>
      <c r="J3958" s="374" t="s">
        <v>868</v>
      </c>
      <c r="K3958" s="283">
        <f t="shared" si="375"/>
        <v>24</v>
      </c>
      <c r="W3958" s="744"/>
    </row>
    <row r="3959" spans="6:23" ht="24" customHeight="1">
      <c r="F3959" s="283">
        <v>2</v>
      </c>
      <c r="G3959" s="283" t="s">
        <v>868</v>
      </c>
      <c r="H3959" s="283" t="str">
        <f>H3943</f>
        <v>TOWER BOLT RECEIVER</v>
      </c>
      <c r="I3959" s="283">
        <f t="shared" si="374"/>
        <v>4.9000000000000004</v>
      </c>
      <c r="J3959" s="374" t="s">
        <v>868</v>
      </c>
      <c r="K3959" s="283">
        <f t="shared" si="375"/>
        <v>9.8000000000000007</v>
      </c>
      <c r="W3959" s="744"/>
    </row>
    <row r="3960" spans="6:23" ht="24" customHeight="1">
      <c r="F3960" s="283">
        <v>6</v>
      </c>
      <c r="G3960" s="283" t="s">
        <v>868</v>
      </c>
      <c r="H3960" s="374" t="s">
        <v>2220</v>
      </c>
      <c r="I3960" s="283">
        <f t="shared" si="374"/>
        <v>4.45</v>
      </c>
      <c r="J3960" s="374" t="s">
        <v>868</v>
      </c>
      <c r="K3960" s="283">
        <f t="shared" si="375"/>
        <v>26.7</v>
      </c>
      <c r="W3960" s="744"/>
    </row>
    <row r="3961" spans="6:23" ht="24" customHeight="1">
      <c r="F3961" s="283">
        <v>1</v>
      </c>
      <c r="G3961" s="283" t="s">
        <v>868</v>
      </c>
      <c r="H3961" s="374" t="s">
        <v>1193</v>
      </c>
      <c r="I3961" s="283">
        <f>I3945</f>
        <v>999</v>
      </c>
      <c r="J3961" s="374" t="s">
        <v>868</v>
      </c>
      <c r="K3961" s="283">
        <f t="shared" si="375"/>
        <v>999</v>
      </c>
      <c r="W3961" s="744"/>
    </row>
    <row r="3962" spans="6:23" ht="24" customHeight="1">
      <c r="F3962" s="283">
        <v>1</v>
      </c>
      <c r="G3962" s="283" t="s">
        <v>868</v>
      </c>
      <c r="H3962" s="374" t="s">
        <v>1194</v>
      </c>
      <c r="I3962" s="283">
        <f>I3946</f>
        <v>651</v>
      </c>
      <c r="J3962" s="374" t="s">
        <v>868</v>
      </c>
      <c r="K3962" s="283">
        <f t="shared" si="375"/>
        <v>651</v>
      </c>
      <c r="W3962" s="744"/>
    </row>
    <row r="3963" spans="6:23" ht="24" customHeight="1">
      <c r="F3963" s="283">
        <v>1</v>
      </c>
      <c r="G3963" s="283" t="s">
        <v>868</v>
      </c>
      <c r="H3963" s="283" t="str">
        <f>H3947</f>
        <v>MOULDING CHARGES</v>
      </c>
      <c r="I3963" s="283">
        <f>I3947</f>
        <v>25</v>
      </c>
      <c r="J3963" s="374" t="s">
        <v>868</v>
      </c>
      <c r="K3963" s="283">
        <f t="shared" si="375"/>
        <v>25</v>
      </c>
      <c r="W3963" s="744"/>
    </row>
    <row r="3964" spans="6:23" ht="24" customHeight="1">
      <c r="F3964" s="283">
        <v>0.5</v>
      </c>
      <c r="G3964" s="283" t="s">
        <v>868</v>
      </c>
      <c r="H3964" s="374" t="s">
        <v>1196</v>
      </c>
      <c r="I3964" s="283">
        <f>I3948</f>
        <v>534</v>
      </c>
      <c r="J3964" s="374" t="s">
        <v>868</v>
      </c>
      <c r="K3964" s="283">
        <f t="shared" si="375"/>
        <v>267</v>
      </c>
      <c r="W3964" s="744"/>
    </row>
    <row r="3965" spans="6:23" ht="24" customHeight="1">
      <c r="G3965" s="283" t="s">
        <v>449</v>
      </c>
      <c r="H3965" s="374" t="s">
        <v>2139</v>
      </c>
      <c r="I3965" s="283">
        <f>I3949</f>
        <v>0</v>
      </c>
      <c r="J3965" s="374" t="s">
        <v>449</v>
      </c>
      <c r="K3965" s="283">
        <v>1.39</v>
      </c>
      <c r="W3965" s="744"/>
    </row>
    <row r="3966" spans="6:23" ht="24" customHeight="1">
      <c r="K3966" s="748" t="s">
        <v>1586</v>
      </c>
      <c r="W3966" s="744"/>
    </row>
    <row r="3967" spans="6:23" ht="24" customHeight="1">
      <c r="H3967" s="757" t="s">
        <v>283</v>
      </c>
      <c r="K3967" s="751">
        <f>SUM(K3955:K3965)</f>
        <v>2761.38</v>
      </c>
      <c r="W3967" s="744"/>
    </row>
    <row r="3968" spans="6:23" ht="24" customHeight="1">
      <c r="K3968" s="748" t="s">
        <v>1586</v>
      </c>
      <c r="W3968" s="744"/>
    </row>
    <row r="3969" spans="6:23" ht="24" customHeight="1">
      <c r="W3969" s="744"/>
    </row>
    <row r="3970" spans="6:23" ht="24" customHeight="1">
      <c r="H3970" s="744" t="s">
        <v>1743</v>
      </c>
      <c r="J3970" s="283"/>
      <c r="K3970" s="748"/>
      <c r="W3970" s="744"/>
    </row>
    <row r="3971" spans="6:23" ht="24" customHeight="1">
      <c r="J3971" s="283"/>
      <c r="K3971" s="748"/>
      <c r="W3971" s="744"/>
    </row>
    <row r="3972" spans="6:23" ht="24" customHeight="1">
      <c r="F3972" s="782">
        <v>6.5000000000000002E-2</v>
      </c>
      <c r="G3972" s="283" t="s">
        <v>869</v>
      </c>
      <c r="H3972" s="374" t="s">
        <v>2073</v>
      </c>
      <c r="I3972" s="283">
        <f>I3955</f>
        <v>8644.8799999999992</v>
      </c>
      <c r="J3972" s="374" t="s">
        <v>869</v>
      </c>
      <c r="K3972" s="283">
        <f>I3972*F3972</f>
        <v>561.91999999999996</v>
      </c>
      <c r="W3972" s="744"/>
    </row>
    <row r="3973" spans="6:23" ht="24" customHeight="1">
      <c r="F3973" s="793">
        <v>8.4499999999999993</v>
      </c>
      <c r="G3973" s="283" t="s">
        <v>1645</v>
      </c>
      <c r="H3973" s="374" t="s">
        <v>2074</v>
      </c>
      <c r="I3973" s="283">
        <f t="shared" ref="I3973:I3982" si="376">I3956</f>
        <v>88873.5</v>
      </c>
      <c r="J3973" s="374" t="s">
        <v>861</v>
      </c>
      <c r="K3973" s="283">
        <f>I3973*F3973/1000</f>
        <v>750.98</v>
      </c>
      <c r="W3973" s="744"/>
    </row>
    <row r="3974" spans="6:23" ht="24" customHeight="1">
      <c r="F3974" s="283">
        <v>3</v>
      </c>
      <c r="G3974" s="283" t="s">
        <v>868</v>
      </c>
      <c r="H3974" s="374" t="s">
        <v>1186</v>
      </c>
      <c r="I3974" s="283">
        <f t="shared" si="376"/>
        <v>14.8</v>
      </c>
      <c r="J3974" s="374" t="s">
        <v>868</v>
      </c>
      <c r="K3974" s="283">
        <f t="shared" ref="K3974:K3981" si="377">I3974*F3974</f>
        <v>44.4</v>
      </c>
      <c r="W3974" s="744"/>
    </row>
    <row r="3975" spans="6:23" ht="24" customHeight="1">
      <c r="F3975" s="283">
        <v>12</v>
      </c>
      <c r="G3975" s="283" t="s">
        <v>868</v>
      </c>
      <c r="H3975" s="374" t="s">
        <v>1187</v>
      </c>
      <c r="I3975" s="283">
        <f t="shared" si="376"/>
        <v>2</v>
      </c>
      <c r="J3975" s="374" t="s">
        <v>868</v>
      </c>
      <c r="K3975" s="283">
        <f t="shared" si="377"/>
        <v>24</v>
      </c>
      <c r="W3975" s="744"/>
    </row>
    <row r="3976" spans="6:23" ht="24" customHeight="1">
      <c r="F3976" s="283">
        <v>2</v>
      </c>
      <c r="G3976" s="283" t="s">
        <v>868</v>
      </c>
      <c r="H3976" s="374" t="s">
        <v>1188</v>
      </c>
      <c r="I3976" s="283">
        <f t="shared" si="376"/>
        <v>4.9000000000000004</v>
      </c>
      <c r="J3976" s="374" t="s">
        <v>868</v>
      </c>
      <c r="K3976" s="283">
        <f t="shared" si="377"/>
        <v>9.8000000000000007</v>
      </c>
      <c r="W3976" s="744"/>
    </row>
    <row r="3977" spans="6:23" ht="24" customHeight="1">
      <c r="F3977" s="283">
        <v>6</v>
      </c>
      <c r="G3977" s="283" t="s">
        <v>868</v>
      </c>
      <c r="H3977" s="374" t="s">
        <v>2220</v>
      </c>
      <c r="I3977" s="283">
        <f t="shared" si="376"/>
        <v>4.45</v>
      </c>
      <c r="J3977" s="374" t="s">
        <v>868</v>
      </c>
      <c r="K3977" s="283">
        <f t="shared" si="377"/>
        <v>26.7</v>
      </c>
      <c r="W3977" s="744"/>
    </row>
    <row r="3978" spans="6:23" ht="24" customHeight="1">
      <c r="F3978" s="283">
        <v>1</v>
      </c>
      <c r="G3978" s="283" t="s">
        <v>868</v>
      </c>
      <c r="H3978" s="374" t="s">
        <v>1193</v>
      </c>
      <c r="I3978" s="283">
        <f t="shared" si="376"/>
        <v>999</v>
      </c>
      <c r="J3978" s="374" t="s">
        <v>868</v>
      </c>
      <c r="K3978" s="283">
        <f t="shared" si="377"/>
        <v>999</v>
      </c>
      <c r="W3978" s="744"/>
    </row>
    <row r="3979" spans="6:23" ht="24" customHeight="1">
      <c r="F3979" s="283">
        <v>1</v>
      </c>
      <c r="G3979" s="283" t="s">
        <v>868</v>
      </c>
      <c r="H3979" s="374" t="s">
        <v>1194</v>
      </c>
      <c r="I3979" s="283">
        <f t="shared" si="376"/>
        <v>651</v>
      </c>
      <c r="J3979" s="374" t="s">
        <v>868</v>
      </c>
      <c r="K3979" s="283">
        <f t="shared" si="377"/>
        <v>651</v>
      </c>
      <c r="W3979" s="744"/>
    </row>
    <row r="3980" spans="6:23" ht="24" customHeight="1">
      <c r="F3980" s="283">
        <v>1</v>
      </c>
      <c r="G3980" s="283" t="s">
        <v>868</v>
      </c>
      <c r="H3980" s="374" t="s">
        <v>1195</v>
      </c>
      <c r="I3980" s="283">
        <f t="shared" si="376"/>
        <v>25</v>
      </c>
      <c r="J3980" s="374" t="s">
        <v>868</v>
      </c>
      <c r="K3980" s="283">
        <f t="shared" si="377"/>
        <v>25</v>
      </c>
      <c r="W3980" s="744"/>
    </row>
    <row r="3981" spans="6:23" ht="24" customHeight="1">
      <c r="F3981" s="283">
        <v>0.5</v>
      </c>
      <c r="G3981" s="283" t="s">
        <v>868</v>
      </c>
      <c r="H3981" s="374" t="s">
        <v>1196</v>
      </c>
      <c r="I3981" s="283">
        <f t="shared" si="376"/>
        <v>534</v>
      </c>
      <c r="J3981" s="374" t="s">
        <v>868</v>
      </c>
      <c r="K3981" s="283">
        <f t="shared" si="377"/>
        <v>267</v>
      </c>
      <c r="W3981" s="744"/>
    </row>
    <row r="3982" spans="6:23" ht="24" customHeight="1">
      <c r="G3982" s="283" t="s">
        <v>449</v>
      </c>
      <c r="H3982" s="374" t="s">
        <v>2139</v>
      </c>
      <c r="I3982" s="283">
        <f t="shared" si="376"/>
        <v>0</v>
      </c>
      <c r="J3982" s="374" t="s">
        <v>449</v>
      </c>
      <c r="K3982" s="283">
        <v>2.1</v>
      </c>
      <c r="W3982" s="744"/>
    </row>
    <row r="3983" spans="6:23" ht="24" customHeight="1">
      <c r="K3983" s="748" t="s">
        <v>1586</v>
      </c>
      <c r="W3983" s="744"/>
    </row>
    <row r="3984" spans="6:23" ht="24" customHeight="1">
      <c r="H3984" s="757" t="s">
        <v>283</v>
      </c>
      <c r="K3984" s="751">
        <f>SUM(K3972:K3982)</f>
        <v>3361.9</v>
      </c>
      <c r="W3984" s="744"/>
    </row>
    <row r="3985" spans="6:23" ht="24" customHeight="1">
      <c r="K3985" s="748" t="s">
        <v>1586</v>
      </c>
      <c r="W3985" s="744"/>
    </row>
    <row r="3986" spans="6:23" ht="24" customHeight="1">
      <c r="F3986" s="991" t="s">
        <v>4311</v>
      </c>
      <c r="G3986" s="991"/>
      <c r="H3986" s="991"/>
      <c r="I3986" s="755"/>
      <c r="J3986" s="755"/>
      <c r="W3986" s="744"/>
    </row>
    <row r="3987" spans="6:23" ht="24" customHeight="1">
      <c r="F3987" s="746"/>
      <c r="H3987" s="753" t="s">
        <v>4312</v>
      </c>
      <c r="W3987" s="744"/>
    </row>
    <row r="3988" spans="6:23" ht="24" customHeight="1">
      <c r="F3988" s="746">
        <v>4.88</v>
      </c>
      <c r="G3988" s="283" t="s">
        <v>913</v>
      </c>
      <c r="H3988" s="374" t="s">
        <v>1854</v>
      </c>
      <c r="I3988" s="283">
        <f>AB1351</f>
        <v>325</v>
      </c>
      <c r="J3988" s="283" t="s">
        <v>913</v>
      </c>
      <c r="K3988" s="283">
        <f t="shared" ref="K3988:K3997" si="378">I3988*F3988</f>
        <v>1586</v>
      </c>
      <c r="W3988" s="744"/>
    </row>
    <row r="3989" spans="6:23" ht="24" customHeight="1">
      <c r="F3989" s="746">
        <v>7.76</v>
      </c>
      <c r="G3989" s="283" t="s">
        <v>913</v>
      </c>
      <c r="H3989" s="374" t="s">
        <v>1854</v>
      </c>
      <c r="I3989" s="283">
        <f>I3988</f>
        <v>325</v>
      </c>
      <c r="J3989" s="283" t="s">
        <v>913</v>
      </c>
      <c r="K3989" s="283">
        <f t="shared" si="378"/>
        <v>2522</v>
      </c>
      <c r="W3989" s="744"/>
    </row>
    <row r="3990" spans="6:23" ht="24" customHeight="1">
      <c r="F3990" s="746">
        <v>3.03</v>
      </c>
      <c r="G3990" s="283" t="s">
        <v>913</v>
      </c>
      <c r="H3990" s="374" t="s">
        <v>1854</v>
      </c>
      <c r="I3990" s="283">
        <f>I3989</f>
        <v>325</v>
      </c>
      <c r="J3990" s="283" t="s">
        <v>913</v>
      </c>
      <c r="K3990" s="283">
        <f t="shared" si="378"/>
        <v>984.75</v>
      </c>
      <c r="W3990" s="744"/>
    </row>
    <row r="3991" spans="6:23" ht="24" customHeight="1">
      <c r="F3991" s="746">
        <v>1.45</v>
      </c>
      <c r="G3991" s="283" t="s">
        <v>913</v>
      </c>
      <c r="H3991" s="374" t="s">
        <v>1854</v>
      </c>
      <c r="I3991" s="283">
        <f>I3990</f>
        <v>325</v>
      </c>
      <c r="J3991" s="283" t="s">
        <v>913</v>
      </c>
      <c r="K3991" s="283">
        <f t="shared" si="378"/>
        <v>471.25</v>
      </c>
      <c r="W3991" s="744"/>
    </row>
    <row r="3992" spans="6:23" ht="24" customHeight="1">
      <c r="F3992" s="746">
        <v>2.4300000000000002</v>
      </c>
      <c r="G3992" s="283" t="s">
        <v>233</v>
      </c>
      <c r="H3992" s="374" t="s">
        <v>1855</v>
      </c>
      <c r="I3992" s="283">
        <f>AB1355</f>
        <v>306.89999999999998</v>
      </c>
      <c r="J3992" s="283" t="s">
        <v>233</v>
      </c>
      <c r="K3992" s="283">
        <f t="shared" si="378"/>
        <v>745.77</v>
      </c>
      <c r="W3992" s="744"/>
    </row>
    <row r="3993" spans="6:23" ht="24" customHeight="1">
      <c r="F3993" s="746">
        <v>11.7</v>
      </c>
      <c r="G3993" s="283" t="s">
        <v>826</v>
      </c>
      <c r="H3993" s="374" t="s">
        <v>1856</v>
      </c>
      <c r="I3993" s="283">
        <f>AB1356</f>
        <v>29.05</v>
      </c>
      <c r="J3993" s="283" t="s">
        <v>826</v>
      </c>
      <c r="K3993" s="283">
        <f t="shared" si="378"/>
        <v>339.89</v>
      </c>
      <c r="W3993" s="744"/>
    </row>
    <row r="3994" spans="6:23" ht="24" customHeight="1">
      <c r="F3994" s="746">
        <v>3</v>
      </c>
      <c r="G3994" s="283" t="s">
        <v>769</v>
      </c>
      <c r="H3994" s="374" t="s">
        <v>4313</v>
      </c>
      <c r="I3994" s="283">
        <v>350</v>
      </c>
      <c r="J3994" s="283" t="s">
        <v>769</v>
      </c>
      <c r="K3994" s="283">
        <f t="shared" si="378"/>
        <v>1050</v>
      </c>
      <c r="W3994" s="744"/>
    </row>
    <row r="3995" spans="6:23" ht="24" customHeight="1">
      <c r="F3995" s="746">
        <v>3</v>
      </c>
      <c r="G3995" s="283" t="s">
        <v>769</v>
      </c>
      <c r="H3995" s="374" t="s">
        <v>1858</v>
      </c>
      <c r="I3995" s="283">
        <f>V1360</f>
        <v>57.65</v>
      </c>
      <c r="J3995" s="283" t="s">
        <v>769</v>
      </c>
      <c r="K3995" s="283">
        <f t="shared" si="378"/>
        <v>172.95</v>
      </c>
      <c r="W3995" s="744"/>
    </row>
    <row r="3996" spans="6:23" ht="24" customHeight="1">
      <c r="F3996" s="746">
        <v>4</v>
      </c>
      <c r="G3996" s="283" t="s">
        <v>769</v>
      </c>
      <c r="H3996" s="374" t="s">
        <v>1861</v>
      </c>
      <c r="I3996" s="283">
        <f>AB1361</f>
        <v>15</v>
      </c>
      <c r="J3996" s="283" t="s">
        <v>769</v>
      </c>
      <c r="K3996" s="283">
        <f t="shared" si="378"/>
        <v>60</v>
      </c>
      <c r="W3996" s="744"/>
    </row>
    <row r="3997" spans="6:23" ht="24" customHeight="1">
      <c r="F3997" s="746">
        <v>2.4300000000000002</v>
      </c>
      <c r="G3997" s="283" t="s">
        <v>2283</v>
      </c>
      <c r="H3997" s="374" t="s">
        <v>1862</v>
      </c>
      <c r="I3997" s="283">
        <f>AB1362</f>
        <v>1998</v>
      </c>
      <c r="J3997" s="283" t="s">
        <v>769</v>
      </c>
      <c r="K3997" s="283">
        <f t="shared" si="378"/>
        <v>4855.1400000000003</v>
      </c>
      <c r="W3997" s="744"/>
    </row>
    <row r="3998" spans="6:23" ht="24" customHeight="1">
      <c r="F3998" s="746"/>
      <c r="H3998" s="374" t="s">
        <v>1863</v>
      </c>
      <c r="J3998" s="283"/>
      <c r="W3998" s="744"/>
    </row>
    <row r="3999" spans="6:23" ht="24" customHeight="1">
      <c r="F3999" s="746"/>
      <c r="H3999" s="750" t="s">
        <v>3536</v>
      </c>
      <c r="J3999" s="283"/>
      <c r="K3999" s="283">
        <f>SUM(K3988:K3998)</f>
        <v>12787.75</v>
      </c>
      <c r="W3999" s="744"/>
    </row>
    <row r="4000" spans="6:23" ht="24" customHeight="1">
      <c r="F4000" s="746"/>
      <c r="H4000" s="750" t="s">
        <v>4314</v>
      </c>
      <c r="J4000" s="283" t="s">
        <v>2283</v>
      </c>
      <c r="K4000" s="283">
        <f>K3999/F3997</f>
        <v>5262.45</v>
      </c>
      <c r="W4000" s="744"/>
    </row>
    <row r="4001" spans="6:23" ht="24" customHeight="1">
      <c r="F4001" s="746"/>
      <c r="J4001" s="283"/>
      <c r="K4001" s="751"/>
      <c r="W4001" s="744"/>
    </row>
    <row r="4002" spans="6:23" ht="24" customHeight="1">
      <c r="F4002" s="746"/>
      <c r="J4002" s="283"/>
      <c r="W4002" s="744"/>
    </row>
    <row r="4003" spans="6:23" ht="24" customHeight="1">
      <c r="H4003" s="991" t="s">
        <v>4315</v>
      </c>
      <c r="I4003" s="991"/>
      <c r="J4003" s="991"/>
      <c r="K4003" s="991"/>
      <c r="W4003" s="744"/>
    </row>
    <row r="4004" spans="6:23" ht="24" customHeight="1">
      <c r="F4004" s="783"/>
      <c r="H4004" s="374"/>
      <c r="J4004" s="283"/>
      <c r="W4004" s="744"/>
    </row>
    <row r="4005" spans="6:23" ht="24" customHeight="1">
      <c r="F4005" s="783"/>
      <c r="H4005" s="374"/>
      <c r="J4005" s="283"/>
      <c r="W4005" s="744"/>
    </row>
    <row r="4006" spans="6:23" ht="24" customHeight="1">
      <c r="F4006" s="783"/>
      <c r="H4006" s="374"/>
      <c r="J4006" s="283"/>
      <c r="W4006" s="744"/>
    </row>
    <row r="4007" spans="6:23" ht="24" customHeight="1">
      <c r="F4007" s="783">
        <v>12.08</v>
      </c>
      <c r="G4007" s="283" t="s">
        <v>913</v>
      </c>
      <c r="H4007" s="374" t="s">
        <v>1854</v>
      </c>
      <c r="I4007" s="283">
        <f>I3988</f>
        <v>325</v>
      </c>
      <c r="J4007" s="283" t="s">
        <v>913</v>
      </c>
      <c r="K4007" s="283">
        <f>I4007*F4007</f>
        <v>3926</v>
      </c>
      <c r="W4007" s="744"/>
    </row>
    <row r="4008" spans="6:23" ht="24" customHeight="1">
      <c r="F4008" s="783">
        <v>1.823</v>
      </c>
      <c r="G4008" s="283" t="s">
        <v>233</v>
      </c>
      <c r="H4008" s="374" t="s">
        <v>1855</v>
      </c>
      <c r="I4008" s="283">
        <f>I3992</f>
        <v>306.89999999999998</v>
      </c>
      <c r="J4008" s="283" t="s">
        <v>233</v>
      </c>
      <c r="K4008" s="283">
        <f t="shared" ref="K4008:K4013" si="379">I4008*F4008</f>
        <v>559.48</v>
      </c>
      <c r="W4008" s="744"/>
    </row>
    <row r="4009" spans="6:23" ht="24" customHeight="1">
      <c r="F4009" s="783">
        <v>8.1</v>
      </c>
      <c r="G4009" s="283" t="s">
        <v>826</v>
      </c>
      <c r="H4009" s="374" t="s">
        <v>1856</v>
      </c>
      <c r="I4009" s="283">
        <f>I3993</f>
        <v>29.05</v>
      </c>
      <c r="J4009" s="283" t="s">
        <v>826</v>
      </c>
      <c r="K4009" s="283">
        <f t="shared" si="379"/>
        <v>235.31</v>
      </c>
      <c r="W4009" s="744"/>
    </row>
    <row r="4010" spans="6:23" ht="24" customHeight="1">
      <c r="F4010" s="783">
        <v>2</v>
      </c>
      <c r="G4010" s="283" t="s">
        <v>3926</v>
      </c>
      <c r="H4010" s="374" t="s">
        <v>4316</v>
      </c>
      <c r="I4010" s="283">
        <f>I3994</f>
        <v>350</v>
      </c>
      <c r="J4010" s="283" t="s">
        <v>769</v>
      </c>
      <c r="K4010" s="283">
        <f t="shared" si="379"/>
        <v>700</v>
      </c>
      <c r="W4010" s="744"/>
    </row>
    <row r="4011" spans="6:23" ht="24" customHeight="1">
      <c r="F4011" s="783">
        <v>2</v>
      </c>
      <c r="G4011" s="283" t="s">
        <v>769</v>
      </c>
      <c r="H4011" s="374" t="s">
        <v>1858</v>
      </c>
      <c r="I4011" s="283">
        <f>I3995</f>
        <v>57.65</v>
      </c>
      <c r="J4011" s="283" t="s">
        <v>769</v>
      </c>
      <c r="K4011" s="283">
        <f t="shared" si="379"/>
        <v>115.3</v>
      </c>
      <c r="W4011" s="744"/>
    </row>
    <row r="4012" spans="6:23" ht="24" customHeight="1">
      <c r="F4012" s="783">
        <v>4</v>
      </c>
      <c r="G4012" s="283" t="s">
        <v>769</v>
      </c>
      <c r="H4012" s="374" t="s">
        <v>1861</v>
      </c>
      <c r="I4012" s="283">
        <v>15</v>
      </c>
      <c r="J4012" s="283" t="s">
        <v>769</v>
      </c>
      <c r="K4012" s="283">
        <f t="shared" si="379"/>
        <v>60</v>
      </c>
      <c r="W4012" s="744"/>
    </row>
    <row r="4013" spans="6:23" ht="24" customHeight="1">
      <c r="F4013" s="783">
        <v>1.823</v>
      </c>
      <c r="G4013" s="283" t="s">
        <v>2283</v>
      </c>
      <c r="H4013" s="374" t="s">
        <v>1862</v>
      </c>
      <c r="I4013" s="283">
        <f>I3997</f>
        <v>1998</v>
      </c>
      <c r="J4013" s="283" t="s">
        <v>2283</v>
      </c>
      <c r="K4013" s="283">
        <f t="shared" si="379"/>
        <v>3642.35</v>
      </c>
      <c r="W4013" s="744"/>
    </row>
    <row r="4014" spans="6:23" ht="24" customHeight="1">
      <c r="H4014" s="374"/>
      <c r="J4014" s="744"/>
      <c r="W4014" s="744"/>
    </row>
    <row r="4015" spans="6:23" ht="24" customHeight="1">
      <c r="H4015" s="784" t="s">
        <v>4317</v>
      </c>
      <c r="J4015" s="283"/>
      <c r="K4015" s="283">
        <f>SUM(K4007:K4014)</f>
        <v>9238.44</v>
      </c>
      <c r="W4015" s="744"/>
    </row>
    <row r="4016" spans="6:23" ht="24" customHeight="1">
      <c r="H4016" s="784" t="s">
        <v>4318</v>
      </c>
      <c r="J4016" s="283"/>
      <c r="K4016" s="751">
        <f>K4015/F4013</f>
        <v>5067.71</v>
      </c>
      <c r="W4016" s="744"/>
    </row>
    <row r="4017" spans="6:23" ht="24" customHeight="1">
      <c r="H4017" s="784"/>
      <c r="J4017" s="283"/>
      <c r="W4017" s="744"/>
    </row>
    <row r="4018" spans="6:23" ht="24" customHeight="1">
      <c r="F4018" s="746"/>
      <c r="H4018" s="753" t="s">
        <v>4319</v>
      </c>
      <c r="W4018" s="744"/>
    </row>
    <row r="4019" spans="6:23" ht="24" customHeight="1">
      <c r="F4019" s="746">
        <v>3.72</v>
      </c>
      <c r="G4019" s="283" t="s">
        <v>913</v>
      </c>
      <c r="H4019" s="374" t="s">
        <v>1854</v>
      </c>
      <c r="I4019" s="283">
        <f>I3988</f>
        <v>325</v>
      </c>
      <c r="J4019" s="283" t="s">
        <v>913</v>
      </c>
      <c r="K4019" s="283">
        <f>I4019*F4019</f>
        <v>1209</v>
      </c>
      <c r="W4019" s="744"/>
    </row>
    <row r="4020" spans="6:23" ht="24" customHeight="1">
      <c r="F4020" s="746">
        <v>4.57</v>
      </c>
      <c r="G4020" s="283" t="s">
        <v>913</v>
      </c>
      <c r="H4020" s="374" t="s">
        <v>1854</v>
      </c>
      <c r="I4020" s="283">
        <f>I4019</f>
        <v>325</v>
      </c>
      <c r="J4020" s="283" t="s">
        <v>913</v>
      </c>
      <c r="K4020" s="283">
        <f t="shared" ref="K4020:K4026" si="380">I4020*F4020</f>
        <v>1485.25</v>
      </c>
      <c r="W4020" s="744"/>
    </row>
    <row r="4021" spans="6:23" ht="24" customHeight="1">
      <c r="F4021" s="746">
        <v>1.18</v>
      </c>
      <c r="G4021" s="283" t="s">
        <v>913</v>
      </c>
      <c r="H4021" s="374" t="s">
        <v>1854</v>
      </c>
      <c r="I4021" s="283">
        <f>I4020</f>
        <v>325</v>
      </c>
      <c r="J4021" s="283" t="s">
        <v>913</v>
      </c>
      <c r="K4021" s="283">
        <f t="shared" si="380"/>
        <v>383.5</v>
      </c>
      <c r="W4021" s="744"/>
    </row>
    <row r="4022" spans="6:23" ht="24" customHeight="1">
      <c r="F4022" s="746">
        <v>0.86</v>
      </c>
      <c r="G4022" s="283" t="s">
        <v>913</v>
      </c>
      <c r="H4022" s="374" t="s">
        <v>1854</v>
      </c>
      <c r="I4022" s="283">
        <f>I4021</f>
        <v>325</v>
      </c>
      <c r="J4022" s="283" t="s">
        <v>913</v>
      </c>
      <c r="K4022" s="283">
        <f t="shared" si="380"/>
        <v>279.5</v>
      </c>
      <c r="W4022" s="744"/>
    </row>
    <row r="4023" spans="6:23" ht="24" customHeight="1">
      <c r="F4023" s="746">
        <v>1.42</v>
      </c>
      <c r="G4023" s="283" t="s">
        <v>233</v>
      </c>
      <c r="H4023" s="374" t="s">
        <v>1855</v>
      </c>
      <c r="I4023" s="283">
        <f t="shared" ref="I4023:I4028" si="381">I4008</f>
        <v>306.89999999999998</v>
      </c>
      <c r="J4023" s="283" t="s">
        <v>233</v>
      </c>
      <c r="K4023" s="283">
        <f t="shared" si="380"/>
        <v>435.8</v>
      </c>
      <c r="W4023" s="744"/>
    </row>
    <row r="4024" spans="6:23" ht="24" customHeight="1">
      <c r="F4024" s="746">
        <v>6.9</v>
      </c>
      <c r="G4024" s="283" t="s">
        <v>826</v>
      </c>
      <c r="H4024" s="374" t="s">
        <v>1856</v>
      </c>
      <c r="I4024" s="283">
        <f t="shared" si="381"/>
        <v>29.05</v>
      </c>
      <c r="J4024" s="283" t="s">
        <v>826</v>
      </c>
      <c r="K4024" s="283">
        <f t="shared" si="380"/>
        <v>200.45</v>
      </c>
      <c r="W4024" s="744"/>
    </row>
    <row r="4025" spans="6:23" ht="24" customHeight="1">
      <c r="F4025" s="746">
        <v>2</v>
      </c>
      <c r="G4025" s="283" t="s">
        <v>769</v>
      </c>
      <c r="H4025" s="374" t="s">
        <v>4316</v>
      </c>
      <c r="I4025" s="283">
        <f t="shared" si="381"/>
        <v>350</v>
      </c>
      <c r="J4025" s="283" t="s">
        <v>769</v>
      </c>
      <c r="K4025" s="283">
        <f t="shared" si="380"/>
        <v>700</v>
      </c>
      <c r="W4025" s="744"/>
    </row>
    <row r="4026" spans="6:23" ht="24" customHeight="1">
      <c r="F4026" s="746">
        <v>2</v>
      </c>
      <c r="G4026" s="283" t="s">
        <v>769</v>
      </c>
      <c r="H4026" s="374" t="s">
        <v>1858</v>
      </c>
      <c r="I4026" s="283">
        <f t="shared" si="381"/>
        <v>57.65</v>
      </c>
      <c r="J4026" s="283" t="s">
        <v>769</v>
      </c>
      <c r="K4026" s="283">
        <f t="shared" si="380"/>
        <v>115.3</v>
      </c>
      <c r="W4026" s="744"/>
    </row>
    <row r="4027" spans="6:23" ht="24" customHeight="1">
      <c r="F4027" s="746">
        <v>4</v>
      </c>
      <c r="G4027" s="283" t="s">
        <v>769</v>
      </c>
      <c r="H4027" s="374" t="s">
        <v>1861</v>
      </c>
      <c r="I4027" s="283">
        <f t="shared" si="381"/>
        <v>15</v>
      </c>
      <c r="J4027" s="283" t="s">
        <v>769</v>
      </c>
      <c r="K4027" s="283">
        <f>I4027*F4027</f>
        <v>60</v>
      </c>
      <c r="W4027" s="744"/>
    </row>
    <row r="4028" spans="6:23" ht="24" customHeight="1">
      <c r="F4028" s="746">
        <v>1.42</v>
      </c>
      <c r="G4028" s="283" t="s">
        <v>2283</v>
      </c>
      <c r="H4028" s="374" t="s">
        <v>1862</v>
      </c>
      <c r="I4028" s="283">
        <f t="shared" si="381"/>
        <v>1998</v>
      </c>
      <c r="J4028" s="283" t="s">
        <v>2283</v>
      </c>
      <c r="K4028" s="283">
        <f>I4028*F4028</f>
        <v>2837.16</v>
      </c>
      <c r="W4028" s="744"/>
    </row>
    <row r="4029" spans="6:23" ht="24" customHeight="1">
      <c r="F4029" s="746"/>
      <c r="H4029" s="374" t="s">
        <v>1863</v>
      </c>
      <c r="J4029" s="744"/>
      <c r="W4029" s="744"/>
    </row>
    <row r="4030" spans="6:23" ht="24" customHeight="1">
      <c r="F4030" s="746"/>
      <c r="H4030" s="750" t="s">
        <v>3536</v>
      </c>
      <c r="J4030" s="283"/>
      <c r="K4030" s="283">
        <f>SUM(K4019:K4029)</f>
        <v>7705.96</v>
      </c>
      <c r="W4030" s="744"/>
    </row>
    <row r="4031" spans="6:23" ht="24" customHeight="1">
      <c r="F4031" s="746"/>
      <c r="H4031" s="784" t="s">
        <v>4318</v>
      </c>
      <c r="J4031" s="283"/>
      <c r="K4031" s="751">
        <f>K4030/F4028</f>
        <v>5426.73</v>
      </c>
      <c r="W4031" s="744"/>
    </row>
    <row r="4032" spans="6:23" ht="24" customHeight="1">
      <c r="F4032" s="746"/>
      <c r="J4032" s="283"/>
      <c r="K4032" s="751"/>
      <c r="W4032" s="744"/>
    </row>
    <row r="4033" spans="6:23" ht="24" customHeight="1">
      <c r="F4033" s="746"/>
      <c r="H4033" s="753" t="s">
        <v>4320</v>
      </c>
      <c r="W4033" s="744"/>
    </row>
    <row r="4034" spans="6:23" ht="24" customHeight="1">
      <c r="F4034" s="807">
        <v>11.61</v>
      </c>
      <c r="G4034" s="805" t="s">
        <v>913</v>
      </c>
      <c r="H4034" s="809" t="s">
        <v>1854</v>
      </c>
      <c r="I4034" s="805">
        <f>I4019</f>
        <v>325</v>
      </c>
      <c r="J4034" s="805" t="s">
        <v>913</v>
      </c>
      <c r="K4034" s="805">
        <f>I4034*F4034</f>
        <v>3773.25</v>
      </c>
      <c r="W4034" s="744"/>
    </row>
    <row r="4035" spans="6:23" ht="24" customHeight="1">
      <c r="F4035" s="807">
        <v>7.8</v>
      </c>
      <c r="G4035" s="805" t="s">
        <v>826</v>
      </c>
      <c r="H4035" s="809" t="s">
        <v>3917</v>
      </c>
      <c r="I4035" s="805">
        <f>I4024</f>
        <v>29.05</v>
      </c>
      <c r="J4035" s="805" t="s">
        <v>826</v>
      </c>
      <c r="K4035" s="805">
        <f t="shared" ref="K4035:K4040" si="382">I4035*F4035</f>
        <v>226.59</v>
      </c>
      <c r="W4035" s="744"/>
    </row>
    <row r="4036" spans="6:23" ht="24" customHeight="1">
      <c r="F4036" s="807">
        <v>1.62</v>
      </c>
      <c r="G4036" s="805" t="s">
        <v>233</v>
      </c>
      <c r="H4036" s="809" t="s">
        <v>3918</v>
      </c>
      <c r="I4036" s="805">
        <f>I4023</f>
        <v>306.89999999999998</v>
      </c>
      <c r="J4036" s="805" t="s">
        <v>233</v>
      </c>
      <c r="K4036" s="805">
        <f t="shared" si="382"/>
        <v>497.18</v>
      </c>
      <c r="W4036" s="744"/>
    </row>
    <row r="4037" spans="6:23" ht="24" customHeight="1">
      <c r="F4037" s="807">
        <v>2</v>
      </c>
      <c r="G4037" s="805" t="s">
        <v>769</v>
      </c>
      <c r="H4037" s="809" t="s">
        <v>3919</v>
      </c>
      <c r="I4037" s="805">
        <f>I4026</f>
        <v>57.65</v>
      </c>
      <c r="J4037" s="805" t="s">
        <v>769</v>
      </c>
      <c r="K4037" s="805">
        <f t="shared" si="382"/>
        <v>115.3</v>
      </c>
      <c r="W4037" s="744"/>
    </row>
    <row r="4038" spans="6:23" ht="24" customHeight="1">
      <c r="F4038" s="807">
        <v>2</v>
      </c>
      <c r="G4038" s="805" t="s">
        <v>769</v>
      </c>
      <c r="H4038" s="809" t="s">
        <v>4321</v>
      </c>
      <c r="I4038" s="805">
        <f>I4025</f>
        <v>350</v>
      </c>
      <c r="J4038" s="805" t="s">
        <v>769</v>
      </c>
      <c r="K4038" s="805">
        <f t="shared" si="382"/>
        <v>700</v>
      </c>
      <c r="W4038" s="744"/>
    </row>
    <row r="4039" spans="6:23" ht="24" customHeight="1">
      <c r="F4039" s="807">
        <v>4</v>
      </c>
      <c r="G4039" s="805" t="s">
        <v>769</v>
      </c>
      <c r="H4039" s="809" t="s">
        <v>3921</v>
      </c>
      <c r="I4039" s="805">
        <f>I4027</f>
        <v>15</v>
      </c>
      <c r="J4039" s="805" t="s">
        <v>769</v>
      </c>
      <c r="K4039" s="805">
        <f t="shared" si="382"/>
        <v>60</v>
      </c>
      <c r="W4039" s="744"/>
    </row>
    <row r="4040" spans="6:23" ht="24" customHeight="1">
      <c r="F4040" s="807">
        <v>1.62</v>
      </c>
      <c r="G4040" s="805" t="s">
        <v>2283</v>
      </c>
      <c r="H4040" s="809" t="s">
        <v>3922</v>
      </c>
      <c r="I4040" s="805">
        <f>I4028</f>
        <v>1998</v>
      </c>
      <c r="J4040" s="805" t="s">
        <v>2283</v>
      </c>
      <c r="K4040" s="805">
        <f t="shared" si="382"/>
        <v>3236.76</v>
      </c>
      <c r="W4040" s="744"/>
    </row>
    <row r="4041" spans="6:23" ht="24" customHeight="1">
      <c r="F4041" s="805"/>
      <c r="G4041" s="805"/>
      <c r="H4041" s="809" t="s">
        <v>2271</v>
      </c>
      <c r="I4041" s="805"/>
      <c r="J4041" s="810"/>
      <c r="K4041" s="805"/>
      <c r="W4041" s="744"/>
    </row>
    <row r="4042" spans="6:23" ht="24" customHeight="1">
      <c r="F4042" s="805"/>
      <c r="G4042" s="805"/>
      <c r="H4042" s="750" t="s">
        <v>3536</v>
      </c>
      <c r="J4042" s="283"/>
      <c r="K4042" s="283">
        <f>SUM(K4034:K4041)</f>
        <v>8609.08</v>
      </c>
      <c r="W4042" s="744"/>
    </row>
    <row r="4043" spans="6:23" ht="24" customHeight="1">
      <c r="F4043" s="746"/>
      <c r="H4043" s="784" t="s">
        <v>4318</v>
      </c>
      <c r="J4043" s="283"/>
      <c r="K4043" s="751">
        <f>K4042/F4040</f>
        <v>5314.25</v>
      </c>
      <c r="W4043" s="744"/>
    </row>
    <row r="4044" spans="6:23" ht="24" customHeight="1">
      <c r="F4044" s="746"/>
      <c r="J4044" s="283"/>
      <c r="W4044" s="744"/>
    </row>
    <row r="4045" spans="6:23" ht="24" customHeight="1">
      <c r="W4045" s="744"/>
    </row>
    <row r="4046" spans="6:23" ht="24" customHeight="1">
      <c r="H4046" s="374" t="s">
        <v>6145</v>
      </c>
      <c r="J4046" s="744"/>
      <c r="L4046" s="746"/>
      <c r="M4046" s="746"/>
      <c r="W4046" s="744"/>
    </row>
    <row r="4047" spans="6:23" ht="24" customHeight="1">
      <c r="H4047" s="833" t="s">
        <v>4356</v>
      </c>
      <c r="J4047" s="744"/>
      <c r="L4047" s="746"/>
      <c r="M4047" s="746"/>
      <c r="W4047" s="744"/>
    </row>
    <row r="4048" spans="6:23" ht="24" customHeight="1">
      <c r="H4048" s="748" t="s">
        <v>1586</v>
      </c>
      <c r="J4048" s="744"/>
      <c r="L4048" s="746"/>
      <c r="M4048" s="746"/>
      <c r="W4048" s="744"/>
    </row>
    <row r="4049" spans="6:23" ht="24" customHeight="1">
      <c r="H4049" s="745" t="s">
        <v>4357</v>
      </c>
      <c r="J4049" s="283"/>
      <c r="L4049" s="746"/>
      <c r="M4049" s="746"/>
      <c r="W4049" s="744"/>
    </row>
    <row r="4050" spans="6:23" ht="24" customHeight="1">
      <c r="H4050" s="796" t="s">
        <v>4358</v>
      </c>
      <c r="I4050" s="888"/>
      <c r="J4050" s="847">
        <f>3*2*1.9*0.075*0.0375</f>
        <v>3.2099999999999997E-2</v>
      </c>
      <c r="K4050" s="283" t="s">
        <v>2151</v>
      </c>
      <c r="L4050" s="746"/>
      <c r="M4050" s="746"/>
      <c r="W4050" s="744"/>
    </row>
    <row r="4051" spans="6:23" ht="33.950000000000003" customHeight="1">
      <c r="H4051" s="374" t="s">
        <v>4359</v>
      </c>
      <c r="I4051" s="888"/>
      <c r="J4051" s="847">
        <f>3*2*0.5*0.075*0.0375</f>
        <v>8.3999999999999995E-3</v>
      </c>
      <c r="K4051" s="283" t="s">
        <v>2151</v>
      </c>
      <c r="L4051" s="746"/>
      <c r="M4051" s="746"/>
      <c r="W4051" s="744"/>
    </row>
    <row r="4052" spans="6:23" ht="33.950000000000003" customHeight="1">
      <c r="H4052" s="374"/>
      <c r="I4052" s="784"/>
      <c r="J4052" s="748" t="s">
        <v>1586</v>
      </c>
      <c r="K4052" s="782"/>
      <c r="L4052" s="746"/>
      <c r="M4052" s="746"/>
      <c r="W4052" s="744"/>
    </row>
    <row r="4053" spans="6:23" ht="24" customHeight="1">
      <c r="J4053" s="909">
        <f>SUM(J4050:J4052)</f>
        <v>4.0500000000000001E-2</v>
      </c>
      <c r="K4053" s="283" t="s">
        <v>2151</v>
      </c>
      <c r="L4053" s="746"/>
      <c r="M4053" s="746"/>
      <c r="W4053" s="744"/>
    </row>
    <row r="4054" spans="6:23" ht="24" customHeight="1">
      <c r="J4054" s="748" t="s">
        <v>1586</v>
      </c>
      <c r="L4054" s="746"/>
      <c r="M4054" s="746"/>
      <c r="W4054" s="744"/>
    </row>
    <row r="4055" spans="6:23" ht="24" customHeight="1">
      <c r="H4055" s="374" t="s">
        <v>447</v>
      </c>
      <c r="I4055" s="888"/>
      <c r="J4055" s="888"/>
      <c r="K4055" s="888"/>
      <c r="L4055" s="746"/>
      <c r="M4055" s="746"/>
      <c r="W4055" s="744"/>
    </row>
    <row r="4056" spans="6:23" ht="24" customHeight="1">
      <c r="H4056" s="374" t="s">
        <v>4360</v>
      </c>
      <c r="I4056" s="871"/>
      <c r="J4056" s="803">
        <f>3*1.9*0.5</f>
        <v>2.85</v>
      </c>
      <c r="K4056" s="283" t="s">
        <v>609</v>
      </c>
      <c r="L4056" s="746"/>
      <c r="M4056" s="746"/>
      <c r="W4056" s="744"/>
    </row>
    <row r="4057" spans="6:23" ht="24" customHeight="1">
      <c r="H4057" s="374"/>
      <c r="I4057" s="871"/>
      <c r="J4057" s="803"/>
      <c r="K4057" s="782"/>
      <c r="L4057" s="746"/>
      <c r="M4057" s="746"/>
      <c r="W4057" s="744"/>
    </row>
    <row r="4058" spans="6:23" ht="24" customHeight="1">
      <c r="H4058" s="374" t="s">
        <v>4361</v>
      </c>
      <c r="I4058" s="871"/>
      <c r="J4058" s="803"/>
      <c r="K4058" s="782"/>
      <c r="L4058" s="746"/>
      <c r="M4058" s="746"/>
      <c r="W4058" s="744"/>
    </row>
    <row r="4059" spans="6:23" ht="33.950000000000003" customHeight="1">
      <c r="H4059" s="374" t="s">
        <v>4362</v>
      </c>
      <c r="I4059" s="871"/>
      <c r="J4059" s="847">
        <f>3*1.775*0.375</f>
        <v>1.9968999999999999</v>
      </c>
      <c r="K4059" s="782" t="str">
        <f>K4056</f>
        <v>SQM</v>
      </c>
      <c r="L4059" s="746"/>
      <c r="M4059" s="746"/>
      <c r="W4059" s="744"/>
    </row>
    <row r="4060" spans="6:23" ht="33.950000000000003" customHeight="1">
      <c r="H4060" s="374" t="s">
        <v>4363</v>
      </c>
      <c r="J4060" s="847"/>
      <c r="K4060" s="796"/>
      <c r="L4060" s="746"/>
      <c r="M4060" s="746"/>
      <c r="W4060" s="744"/>
    </row>
    <row r="4061" spans="6:23" ht="33.950000000000003" customHeight="1">
      <c r="F4061" s="783"/>
      <c r="H4061" s="374" t="s">
        <v>4364</v>
      </c>
      <c r="I4061" s="871"/>
      <c r="J4061" s="847">
        <f>1.775+0.375</f>
        <v>2.15</v>
      </c>
      <c r="K4061" s="782"/>
      <c r="M4061" s="746"/>
      <c r="W4061" s="744"/>
    </row>
    <row r="4062" spans="6:23" ht="33.950000000000003" customHeight="1">
      <c r="F4062" s="783"/>
      <c r="I4062" s="892"/>
      <c r="J4062" s="757">
        <f>J4061*6</f>
        <v>12.9</v>
      </c>
      <c r="K4062" s="283" t="s">
        <v>826</v>
      </c>
      <c r="M4062" s="746"/>
      <c r="W4062" s="744"/>
    </row>
    <row r="4063" spans="6:23" ht="33.950000000000003" customHeight="1">
      <c r="F4063" s="783"/>
      <c r="H4063" s="878" t="s">
        <v>4365</v>
      </c>
      <c r="I4063" s="892"/>
      <c r="J4063" s="744"/>
      <c r="M4063" s="746"/>
      <c r="W4063" s="744"/>
    </row>
    <row r="4064" spans="6:23" ht="33.950000000000003" customHeight="1">
      <c r="F4064" s="783"/>
      <c r="H4064" s="745" t="s">
        <v>4366</v>
      </c>
      <c r="I4064" s="888"/>
      <c r="J4064" s="283"/>
      <c r="K4064" s="744"/>
      <c r="M4064" s="746"/>
      <c r="W4064" s="744"/>
    </row>
    <row r="4065" spans="6:23" ht="33.950000000000003" customHeight="1">
      <c r="F4065" s="782">
        <f>J4053</f>
        <v>4.0500000000000001E-2</v>
      </c>
      <c r="G4065" s="374" t="s">
        <v>869</v>
      </c>
      <c r="H4065" s="374" t="s">
        <v>4367</v>
      </c>
      <c r="I4065" s="283">
        <f>V3115</f>
        <v>99400</v>
      </c>
      <c r="J4065" s="744" t="s">
        <v>869</v>
      </c>
      <c r="K4065" s="283">
        <f>(F4065*I4065)</f>
        <v>4025.7</v>
      </c>
      <c r="M4065" s="746"/>
      <c r="W4065" s="744"/>
    </row>
    <row r="4066" spans="6:23" ht="33.950000000000003" customHeight="1">
      <c r="F4066" s="782">
        <f>J4056</f>
        <v>2.85</v>
      </c>
      <c r="G4066" s="283" t="s">
        <v>609</v>
      </c>
      <c r="H4066" s="374" t="s">
        <v>447</v>
      </c>
      <c r="I4066" s="283">
        <f>V3117</f>
        <v>1436</v>
      </c>
      <c r="J4066" s="283" t="s">
        <v>609</v>
      </c>
      <c r="K4066" s="283">
        <f>(F4066*I4066)</f>
        <v>4092.6</v>
      </c>
      <c r="M4066" s="746"/>
      <c r="W4066" s="744"/>
    </row>
    <row r="4067" spans="6:23" ht="33.950000000000003" customHeight="1">
      <c r="F4067" s="782">
        <f>J4059</f>
        <v>1.9968999999999999</v>
      </c>
      <c r="G4067" s="283" t="s">
        <v>609</v>
      </c>
      <c r="H4067" s="374" t="s">
        <v>4361</v>
      </c>
      <c r="I4067" s="283">
        <f>V3116</f>
        <v>306.89999999999998</v>
      </c>
      <c r="J4067" s="283" t="s">
        <v>609</v>
      </c>
      <c r="K4067" s="283">
        <f t="shared" ref="K4067:K4073" si="383">(F4067*I4067)</f>
        <v>612.85</v>
      </c>
      <c r="M4067" s="746"/>
      <c r="W4067" s="744"/>
    </row>
    <row r="4068" spans="6:23" ht="33.950000000000003" customHeight="1">
      <c r="F4068" s="283">
        <f>J4062</f>
        <v>12.9</v>
      </c>
      <c r="G4068" s="283" t="s">
        <v>826</v>
      </c>
      <c r="H4068" s="745" t="s">
        <v>4368</v>
      </c>
      <c r="I4068" s="283">
        <f t="shared" ref="I4068:I4073" si="384">V3118</f>
        <v>15.45</v>
      </c>
      <c r="J4068" s="283" t="s">
        <v>826</v>
      </c>
      <c r="K4068" s="283">
        <f t="shared" si="383"/>
        <v>199.31</v>
      </c>
      <c r="M4068" s="746"/>
      <c r="W4068" s="744"/>
    </row>
    <row r="4069" spans="6:23" ht="33.950000000000003" customHeight="1">
      <c r="F4069" s="283">
        <v>9</v>
      </c>
      <c r="G4069" s="283" t="s">
        <v>868</v>
      </c>
      <c r="H4069" s="374" t="s">
        <v>1517</v>
      </c>
      <c r="I4069" s="283">
        <f t="shared" si="384"/>
        <v>89.6</v>
      </c>
      <c r="J4069" s="374" t="s">
        <v>868</v>
      </c>
      <c r="K4069" s="283">
        <f t="shared" si="383"/>
        <v>806.4</v>
      </c>
      <c r="M4069" s="746"/>
      <c r="W4069" s="744"/>
    </row>
    <row r="4070" spans="6:23" ht="33.950000000000003" customHeight="1">
      <c r="F4070" s="283">
        <v>6</v>
      </c>
      <c r="G4070" s="283" t="s">
        <v>868</v>
      </c>
      <c r="H4070" s="374" t="s">
        <v>3547</v>
      </c>
      <c r="I4070" s="283">
        <f t="shared" si="384"/>
        <v>82.25</v>
      </c>
      <c r="J4070" s="374" t="s">
        <v>868</v>
      </c>
      <c r="K4070" s="283">
        <f t="shared" si="383"/>
        <v>493.5</v>
      </c>
      <c r="M4070" s="746"/>
      <c r="W4070" s="744"/>
    </row>
    <row r="4071" spans="6:23" ht="33.950000000000003" customHeight="1">
      <c r="F4071" s="283">
        <v>3</v>
      </c>
      <c r="G4071" s="283" t="s">
        <v>868</v>
      </c>
      <c r="H4071" s="374" t="s">
        <v>3548</v>
      </c>
      <c r="I4071" s="283">
        <f t="shared" si="384"/>
        <v>57.65</v>
      </c>
      <c r="J4071" s="374" t="s">
        <v>868</v>
      </c>
      <c r="K4071" s="283">
        <f t="shared" si="383"/>
        <v>172.95</v>
      </c>
      <c r="M4071" s="746"/>
      <c r="W4071" s="744"/>
    </row>
    <row r="4072" spans="6:23" ht="33.950000000000003" customHeight="1">
      <c r="F4072" s="283">
        <v>3</v>
      </c>
      <c r="G4072" s="283" t="s">
        <v>868</v>
      </c>
      <c r="H4072" s="374" t="s">
        <v>1980</v>
      </c>
      <c r="I4072" s="283">
        <f t="shared" si="384"/>
        <v>7.3</v>
      </c>
      <c r="J4072" s="374" t="s">
        <v>868</v>
      </c>
      <c r="K4072" s="283">
        <f t="shared" si="383"/>
        <v>21.9</v>
      </c>
      <c r="M4072" s="746"/>
      <c r="W4072" s="744"/>
    </row>
    <row r="4073" spans="6:23" ht="33.950000000000003" customHeight="1">
      <c r="F4073" s="283">
        <v>120</v>
      </c>
      <c r="G4073" s="283" t="s">
        <v>868</v>
      </c>
      <c r="H4073" s="374" t="s">
        <v>4369</v>
      </c>
      <c r="I4073" s="283">
        <f t="shared" si="384"/>
        <v>2.41</v>
      </c>
      <c r="J4073" s="374" t="s">
        <v>868</v>
      </c>
      <c r="K4073" s="283">
        <f t="shared" si="383"/>
        <v>289.2</v>
      </c>
      <c r="M4073" s="746"/>
      <c r="W4073" s="744"/>
    </row>
    <row r="4074" spans="6:23" ht="33.950000000000003" customHeight="1">
      <c r="H4074" s="374"/>
      <c r="I4074" s="888"/>
      <c r="J4074" s="283"/>
      <c r="K4074" s="748" t="s">
        <v>1586</v>
      </c>
      <c r="M4074" s="746"/>
      <c r="W4074" s="744"/>
    </row>
    <row r="4075" spans="6:23" ht="33.950000000000003" customHeight="1">
      <c r="H4075" s="374" t="s">
        <v>4370</v>
      </c>
      <c r="I4075" s="888"/>
      <c r="J4075" s="744"/>
      <c r="K4075" s="784">
        <f>SUM(K4065:K4074)</f>
        <v>10714.41</v>
      </c>
      <c r="L4075" s="790"/>
      <c r="M4075" s="746"/>
      <c r="W4075" s="744"/>
    </row>
    <row r="4076" spans="6:23" ht="33.950000000000003" customHeight="1">
      <c r="H4076" s="888"/>
      <c r="J4076" s="744"/>
      <c r="K4076" s="748" t="s">
        <v>1586</v>
      </c>
      <c r="L4076" s="888"/>
      <c r="M4076" s="746"/>
      <c r="W4076" s="744"/>
    </row>
    <row r="4077" spans="6:23" ht="33.950000000000003" customHeight="1">
      <c r="H4077" s="784" t="s">
        <v>4049</v>
      </c>
      <c r="J4077" s="744"/>
      <c r="K4077" s="904">
        <f>K4075/F4066</f>
        <v>3759.44</v>
      </c>
      <c r="L4077" s="283">
        <f>SUM(L4061:L4076)</f>
        <v>0</v>
      </c>
      <c r="M4077" s="746"/>
      <c r="W4077" s="744"/>
    </row>
    <row r="4078" spans="6:23" ht="33.950000000000003" customHeight="1">
      <c r="J4078" s="744"/>
      <c r="K4078" s="888"/>
      <c r="L4078" s="888"/>
      <c r="M4078" s="746"/>
      <c r="W4078" s="744"/>
    </row>
    <row r="4079" spans="6:23" ht="33.950000000000003" customHeight="1">
      <c r="H4079" s="745"/>
      <c r="J4079" s="993"/>
      <c r="K4079" s="993"/>
      <c r="L4079" s="993"/>
      <c r="M4079" s="993"/>
      <c r="W4079" s="744"/>
    </row>
    <row r="4080" spans="6:23" ht="24" customHeight="1">
      <c r="J4080" s="283"/>
      <c r="L4080" s="746"/>
      <c r="M4080" s="746"/>
      <c r="W4080" s="744"/>
    </row>
    <row r="4081" spans="23:23" ht="24" customHeight="1">
      <c r="W4081" s="744"/>
    </row>
    <row r="4082" spans="23:23" ht="24" customHeight="1">
      <c r="W4082" s="744"/>
    </row>
    <row r="4083" spans="23:23" ht="24" customHeight="1">
      <c r="W4083" s="744"/>
    </row>
    <row r="4084" spans="23:23" ht="24" customHeight="1">
      <c r="W4084" s="744"/>
    </row>
    <row r="4085" spans="23:23" ht="24" customHeight="1">
      <c r="W4085" s="744"/>
    </row>
    <row r="4086" spans="23:23" ht="24" customHeight="1">
      <c r="W4086" s="744"/>
    </row>
    <row r="4087" spans="23:23" ht="24" customHeight="1">
      <c r="W4087" s="744"/>
    </row>
    <row r="4088" spans="23:23" ht="24" customHeight="1">
      <c r="W4088" s="744"/>
    </row>
    <row r="4089" spans="23:23" ht="24" customHeight="1">
      <c r="W4089" s="744"/>
    </row>
    <row r="4090" spans="23:23" ht="24" customHeight="1">
      <c r="W4090" s="744"/>
    </row>
    <row r="4091" spans="23:23" ht="24" customHeight="1">
      <c r="W4091" s="744"/>
    </row>
    <row r="4092" spans="23:23" ht="24" customHeight="1">
      <c r="W4092" s="744"/>
    </row>
    <row r="4093" spans="23:23" ht="24" customHeight="1">
      <c r="W4093" s="744"/>
    </row>
    <row r="4094" spans="23:23" ht="24" customHeight="1">
      <c r="W4094" s="744"/>
    </row>
    <row r="4095" spans="23:23" ht="24" customHeight="1">
      <c r="W4095" s="744"/>
    </row>
    <row r="4096" spans="23:23" ht="24" customHeight="1">
      <c r="W4096" s="744"/>
    </row>
    <row r="4097" spans="23:23" ht="24" customHeight="1">
      <c r="W4097" s="744"/>
    </row>
    <row r="4098" spans="23:23" ht="24" customHeight="1">
      <c r="W4098" s="744"/>
    </row>
    <row r="4099" spans="23:23" ht="24" customHeight="1">
      <c r="W4099" s="744"/>
    </row>
    <row r="4100" spans="23:23" ht="24" customHeight="1">
      <c r="W4100" s="744"/>
    </row>
    <row r="4101" spans="23:23" ht="24" customHeight="1">
      <c r="W4101" s="744"/>
    </row>
    <row r="4102" spans="23:23" ht="24" customHeight="1">
      <c r="W4102" s="744"/>
    </row>
    <row r="4103" spans="23:23" ht="24" customHeight="1">
      <c r="W4103" s="744"/>
    </row>
    <row r="4104" spans="23:23" ht="24" customHeight="1">
      <c r="W4104" s="744"/>
    </row>
    <row r="4105" spans="23:23" ht="24" customHeight="1">
      <c r="W4105" s="744"/>
    </row>
    <row r="4106" spans="23:23" ht="24" customHeight="1">
      <c r="W4106" s="744"/>
    </row>
    <row r="4107" spans="23:23" ht="24" customHeight="1">
      <c r="W4107" s="744"/>
    </row>
    <row r="4108" spans="23:23" ht="24" customHeight="1">
      <c r="W4108" s="744"/>
    </row>
    <row r="4109" spans="23:23" ht="24" customHeight="1">
      <c r="W4109" s="744"/>
    </row>
    <row r="4110" spans="23:23" ht="24" customHeight="1">
      <c r="W4110" s="744"/>
    </row>
    <row r="4111" spans="23:23" ht="24" customHeight="1">
      <c r="W4111" s="744"/>
    </row>
    <row r="4112" spans="23:23" ht="24" customHeight="1">
      <c r="W4112" s="744"/>
    </row>
    <row r="4113" spans="23:23" ht="24" customHeight="1">
      <c r="W4113" s="744"/>
    </row>
    <row r="4114" spans="23:23" ht="24" customHeight="1">
      <c r="W4114" s="744"/>
    </row>
    <row r="4115" spans="23:23" ht="24" customHeight="1">
      <c r="W4115" s="744"/>
    </row>
    <row r="4116" spans="23:23" ht="24" customHeight="1">
      <c r="W4116" s="744"/>
    </row>
    <row r="4117" spans="23:23" ht="24" customHeight="1">
      <c r="W4117" s="744"/>
    </row>
    <row r="4118" spans="23:23" ht="24" customHeight="1">
      <c r="W4118" s="744"/>
    </row>
    <row r="4119" spans="23:23" ht="24" customHeight="1">
      <c r="W4119" s="744"/>
    </row>
    <row r="4120" spans="23:23" ht="24" customHeight="1">
      <c r="W4120" s="744"/>
    </row>
    <row r="4121" spans="23:23" ht="24" customHeight="1">
      <c r="W4121" s="744"/>
    </row>
    <row r="4122" spans="23:23" ht="24" customHeight="1">
      <c r="W4122" s="744"/>
    </row>
    <row r="4123" spans="23:23" ht="24" customHeight="1">
      <c r="W4123" s="744"/>
    </row>
    <row r="4124" spans="23:23" ht="24" customHeight="1">
      <c r="W4124" s="744"/>
    </row>
    <row r="4125" spans="23:23" ht="24" customHeight="1">
      <c r="W4125" s="744"/>
    </row>
    <row r="4126" spans="23:23" ht="24" customHeight="1">
      <c r="W4126" s="744"/>
    </row>
    <row r="4127" spans="23:23" ht="24" customHeight="1">
      <c r="W4127" s="744"/>
    </row>
    <row r="4128" spans="23:23" ht="24" customHeight="1">
      <c r="W4128" s="744"/>
    </row>
    <row r="4129" spans="23:23" ht="24" customHeight="1">
      <c r="W4129" s="744"/>
    </row>
    <row r="4130" spans="23:23" ht="24" customHeight="1">
      <c r="W4130" s="744"/>
    </row>
    <row r="4131" spans="23:23" ht="24" customHeight="1">
      <c r="W4131" s="744"/>
    </row>
    <row r="4132" spans="23:23" ht="24" customHeight="1">
      <c r="W4132" s="744"/>
    </row>
    <row r="4133" spans="23:23" ht="24" customHeight="1">
      <c r="W4133" s="744"/>
    </row>
    <row r="4134" spans="23:23" ht="24" customHeight="1">
      <c r="W4134" s="744"/>
    </row>
    <row r="4135" spans="23:23" ht="24" customHeight="1">
      <c r="W4135" s="744"/>
    </row>
    <row r="4136" spans="23:23" ht="24" customHeight="1">
      <c r="W4136" s="744"/>
    </row>
    <row r="4137" spans="23:23" ht="24" customHeight="1">
      <c r="W4137" s="744"/>
    </row>
    <row r="4138" spans="23:23" ht="24" customHeight="1">
      <c r="W4138" s="744"/>
    </row>
    <row r="4139" spans="23:23" ht="24" customHeight="1">
      <c r="W4139" s="744"/>
    </row>
    <row r="4140" spans="23:23" ht="24" customHeight="1">
      <c r="W4140" s="744"/>
    </row>
    <row r="4141" spans="23:23" ht="24" customHeight="1">
      <c r="W4141" s="744"/>
    </row>
    <row r="4142" spans="23:23" ht="24" customHeight="1">
      <c r="W4142" s="744"/>
    </row>
    <row r="4143" spans="23:23" ht="24" customHeight="1">
      <c r="W4143" s="744"/>
    </row>
    <row r="4144" spans="23:23" ht="24" customHeight="1">
      <c r="W4144" s="744"/>
    </row>
    <row r="4145" spans="23:23" ht="24" customHeight="1">
      <c r="W4145" s="744"/>
    </row>
    <row r="4146" spans="23:23" ht="24" customHeight="1">
      <c r="W4146" s="744"/>
    </row>
    <row r="4147" spans="23:23" ht="24" customHeight="1">
      <c r="W4147" s="744"/>
    </row>
    <row r="4148" spans="23:23" ht="24" customHeight="1">
      <c r="W4148" s="744"/>
    </row>
    <row r="4149" spans="23:23" ht="24" customHeight="1">
      <c r="W4149" s="744"/>
    </row>
    <row r="4150" spans="23:23" ht="24" customHeight="1">
      <c r="W4150" s="744"/>
    </row>
    <row r="4151" spans="23:23" ht="24" customHeight="1">
      <c r="W4151" s="744"/>
    </row>
    <row r="4152" spans="23:23" ht="24" customHeight="1">
      <c r="W4152" s="744"/>
    </row>
    <row r="4153" spans="23:23" ht="24" customHeight="1">
      <c r="W4153" s="744"/>
    </row>
    <row r="4154" spans="23:23" ht="24" customHeight="1">
      <c r="W4154" s="744"/>
    </row>
    <row r="4155" spans="23:23" ht="24" customHeight="1">
      <c r="W4155" s="744"/>
    </row>
    <row r="4156" spans="23:23" ht="24" customHeight="1">
      <c r="W4156" s="744"/>
    </row>
    <row r="4157" spans="23:23" ht="24" customHeight="1">
      <c r="W4157" s="744"/>
    </row>
    <row r="4158" spans="23:23" ht="24" customHeight="1">
      <c r="W4158" s="744"/>
    </row>
    <row r="4159" spans="23:23" ht="24" customHeight="1">
      <c r="W4159" s="744"/>
    </row>
    <row r="4160" spans="23:23" ht="24" customHeight="1">
      <c r="W4160" s="744"/>
    </row>
    <row r="4161" spans="23:23" ht="24" customHeight="1">
      <c r="W4161" s="744"/>
    </row>
    <row r="4162" spans="23:23" ht="24" customHeight="1">
      <c r="W4162" s="744"/>
    </row>
    <row r="4163" spans="23:23" ht="24" customHeight="1">
      <c r="W4163" s="744"/>
    </row>
    <row r="4164" spans="23:23" ht="24" customHeight="1">
      <c r="W4164" s="744"/>
    </row>
    <row r="4165" spans="23:23" ht="24" customHeight="1">
      <c r="W4165" s="744"/>
    </row>
    <row r="4166" spans="23:23" ht="24" customHeight="1">
      <c r="W4166" s="744"/>
    </row>
    <row r="4167" spans="23:23" ht="24" customHeight="1">
      <c r="W4167" s="744"/>
    </row>
    <row r="4168" spans="23:23" ht="24" customHeight="1">
      <c r="W4168" s="744"/>
    </row>
    <row r="4169" spans="23:23" ht="24" customHeight="1">
      <c r="W4169" s="744"/>
    </row>
    <row r="4170" spans="23:23" ht="24" customHeight="1">
      <c r="W4170" s="744"/>
    </row>
    <row r="4171" spans="23:23" ht="24" customHeight="1">
      <c r="W4171" s="744"/>
    </row>
    <row r="4172" spans="23:23" ht="24" customHeight="1">
      <c r="W4172" s="744"/>
    </row>
    <row r="4173" spans="23:23" ht="24" customHeight="1">
      <c r="W4173" s="744"/>
    </row>
    <row r="4174" spans="23:23" ht="24" customHeight="1">
      <c r="W4174" s="744"/>
    </row>
    <row r="4175" spans="23:23" ht="24" customHeight="1">
      <c r="W4175" s="744"/>
    </row>
    <row r="4176" spans="23:23" ht="24" customHeight="1">
      <c r="W4176" s="744"/>
    </row>
    <row r="4177" spans="23:23" ht="24" customHeight="1">
      <c r="W4177" s="744"/>
    </row>
    <row r="4178" spans="23:23" ht="24" customHeight="1">
      <c r="W4178" s="744"/>
    </row>
    <row r="4179" spans="23:23" ht="24" customHeight="1">
      <c r="W4179" s="744"/>
    </row>
    <row r="4180" spans="23:23" ht="24" customHeight="1">
      <c r="W4180" s="744"/>
    </row>
    <row r="4181" spans="23:23" ht="24" customHeight="1">
      <c r="W4181" s="744"/>
    </row>
    <row r="4182" spans="23:23" ht="24" customHeight="1">
      <c r="W4182" s="744"/>
    </row>
    <row r="4183" spans="23:23" ht="24" customHeight="1">
      <c r="W4183" s="744"/>
    </row>
    <row r="4184" spans="23:23" ht="24" customHeight="1">
      <c r="W4184" s="744"/>
    </row>
    <row r="4185" spans="23:23" ht="24" customHeight="1">
      <c r="W4185" s="744"/>
    </row>
    <row r="4186" spans="23:23" ht="24" customHeight="1">
      <c r="W4186" s="744"/>
    </row>
    <row r="4187" spans="23:23" ht="24" customHeight="1">
      <c r="W4187" s="744"/>
    </row>
    <row r="4188" spans="23:23" ht="24" customHeight="1">
      <c r="W4188" s="744"/>
    </row>
    <row r="4189" spans="23:23" ht="24" customHeight="1">
      <c r="W4189" s="744"/>
    </row>
    <row r="4190" spans="23:23" ht="24" customHeight="1">
      <c r="W4190" s="744"/>
    </row>
    <row r="4191" spans="23:23" ht="24" customHeight="1">
      <c r="W4191" s="744"/>
    </row>
    <row r="4192" spans="23:23" ht="24" customHeight="1">
      <c r="W4192" s="744"/>
    </row>
    <row r="4193" spans="23:23" ht="24" customHeight="1">
      <c r="W4193" s="744"/>
    </row>
    <row r="4194" spans="23:23" ht="24" customHeight="1">
      <c r="W4194" s="744"/>
    </row>
    <row r="4195" spans="23:23" ht="24" customHeight="1">
      <c r="W4195" s="744"/>
    </row>
    <row r="4196" spans="23:23" ht="24" customHeight="1">
      <c r="W4196" s="744"/>
    </row>
    <row r="4197" spans="23:23" ht="24" customHeight="1">
      <c r="W4197" s="744"/>
    </row>
    <row r="4198" spans="23:23" ht="24" customHeight="1">
      <c r="W4198" s="744"/>
    </row>
    <row r="4199" spans="23:23" ht="24" customHeight="1">
      <c r="W4199" s="744"/>
    </row>
    <row r="4200" spans="23:23" ht="24" customHeight="1">
      <c r="W4200" s="744"/>
    </row>
    <row r="4201" spans="23:23" ht="24" customHeight="1">
      <c r="W4201" s="744"/>
    </row>
    <row r="4202" spans="23:23" ht="24" customHeight="1">
      <c r="W4202" s="744"/>
    </row>
    <row r="4203" spans="23:23" ht="24" customHeight="1">
      <c r="W4203" s="744"/>
    </row>
    <row r="4204" spans="23:23" ht="24" customHeight="1">
      <c r="W4204" s="744"/>
    </row>
    <row r="4205" spans="23:23" ht="24" customHeight="1">
      <c r="W4205" s="744"/>
    </row>
    <row r="4206" spans="23:23" ht="24" customHeight="1">
      <c r="W4206" s="744"/>
    </row>
    <row r="4207" spans="23:23" ht="24" customHeight="1">
      <c r="W4207" s="744"/>
    </row>
    <row r="4208" spans="23:23" ht="24" customHeight="1">
      <c r="W4208" s="744"/>
    </row>
    <row r="4209" spans="23:23" ht="24" customHeight="1">
      <c r="W4209" s="744"/>
    </row>
    <row r="4210" spans="23:23" ht="24" customHeight="1">
      <c r="W4210" s="744"/>
    </row>
    <row r="4211" spans="23:23" ht="24" customHeight="1">
      <c r="W4211" s="744"/>
    </row>
    <row r="4212" spans="23:23" ht="24" customHeight="1">
      <c r="W4212" s="744"/>
    </row>
    <row r="4213" spans="23:23" ht="24" customHeight="1">
      <c r="W4213" s="744"/>
    </row>
    <row r="4214" spans="23:23" ht="24" customHeight="1">
      <c r="W4214" s="744"/>
    </row>
    <row r="4215" spans="23:23" ht="24" customHeight="1">
      <c r="W4215" s="744"/>
    </row>
    <row r="4216" spans="23:23" ht="24" customHeight="1">
      <c r="W4216" s="744"/>
    </row>
    <row r="4217" spans="23:23" ht="24" customHeight="1">
      <c r="W4217" s="744"/>
    </row>
    <row r="4218" spans="23:23" ht="24" customHeight="1">
      <c r="W4218" s="744"/>
    </row>
    <row r="4219" spans="23:23" ht="24" customHeight="1">
      <c r="W4219" s="744"/>
    </row>
    <row r="4220" spans="23:23" ht="24" customHeight="1">
      <c r="W4220" s="744"/>
    </row>
    <row r="4221" spans="23:23" ht="24" customHeight="1">
      <c r="W4221" s="744"/>
    </row>
    <row r="4222" spans="23:23" ht="24" customHeight="1">
      <c r="W4222" s="744"/>
    </row>
    <row r="4223" spans="23:23" ht="24" customHeight="1">
      <c r="W4223" s="744"/>
    </row>
    <row r="4224" spans="23:23" ht="24" customHeight="1">
      <c r="W4224" s="744"/>
    </row>
    <row r="4225" spans="23:23" ht="24" customHeight="1">
      <c r="W4225" s="744"/>
    </row>
    <row r="4226" spans="23:23" ht="24" customHeight="1">
      <c r="W4226" s="744"/>
    </row>
    <row r="4227" spans="23:23" ht="24" customHeight="1">
      <c r="W4227" s="744"/>
    </row>
    <row r="4228" spans="23:23" ht="24" customHeight="1">
      <c r="W4228" s="744"/>
    </row>
    <row r="4229" spans="23:23" ht="24" customHeight="1">
      <c r="W4229" s="744"/>
    </row>
    <row r="4230" spans="23:23" ht="24" customHeight="1">
      <c r="W4230" s="744"/>
    </row>
    <row r="4231" spans="23:23" ht="24" customHeight="1">
      <c r="W4231" s="744"/>
    </row>
    <row r="4232" spans="23:23" ht="24" customHeight="1">
      <c r="W4232" s="744"/>
    </row>
    <row r="4233" spans="23:23" ht="24" customHeight="1">
      <c r="W4233" s="744"/>
    </row>
    <row r="4234" spans="23:23" ht="24" customHeight="1">
      <c r="W4234" s="744"/>
    </row>
    <row r="4235" spans="23:23" ht="24" customHeight="1">
      <c r="W4235" s="744"/>
    </row>
    <row r="4236" spans="23:23" ht="24" customHeight="1">
      <c r="W4236" s="744"/>
    </row>
    <row r="4237" spans="23:23" ht="24" customHeight="1">
      <c r="W4237" s="744"/>
    </row>
    <row r="4238" spans="23:23" ht="24" customHeight="1">
      <c r="W4238" s="744"/>
    </row>
    <row r="4239" spans="23:23" ht="24" customHeight="1">
      <c r="W4239" s="744"/>
    </row>
    <row r="4240" spans="23:23" ht="24" customHeight="1">
      <c r="W4240" s="744"/>
    </row>
    <row r="4241" spans="23:23" ht="24" customHeight="1">
      <c r="W4241" s="744"/>
    </row>
    <row r="4242" spans="23:23" ht="24" customHeight="1">
      <c r="W4242" s="744"/>
    </row>
    <row r="4243" spans="23:23" ht="24" customHeight="1">
      <c r="W4243" s="744"/>
    </row>
    <row r="4244" spans="23:23" ht="24" customHeight="1">
      <c r="W4244" s="744"/>
    </row>
    <row r="4245" spans="23:23" ht="24" customHeight="1">
      <c r="W4245" s="744"/>
    </row>
    <row r="4246" spans="23:23" ht="24" customHeight="1">
      <c r="W4246" s="744"/>
    </row>
    <row r="4247" spans="23:23" ht="24" customHeight="1">
      <c r="W4247" s="744"/>
    </row>
    <row r="4248" spans="23:23" ht="24" customHeight="1">
      <c r="W4248" s="744"/>
    </row>
    <row r="4249" spans="23:23" ht="24" customHeight="1">
      <c r="W4249" s="744"/>
    </row>
    <row r="4250" spans="23:23" ht="24" customHeight="1">
      <c r="W4250" s="744"/>
    </row>
    <row r="4251" spans="23:23" ht="24" customHeight="1">
      <c r="W4251" s="744"/>
    </row>
    <row r="4252" spans="23:23" ht="24" customHeight="1">
      <c r="W4252" s="744"/>
    </row>
    <row r="4253" spans="23:23" ht="24" customHeight="1">
      <c r="W4253" s="744"/>
    </row>
    <row r="4254" spans="23:23" ht="24" customHeight="1">
      <c r="W4254" s="744"/>
    </row>
    <row r="4255" spans="23:23" ht="24" customHeight="1">
      <c r="W4255" s="744"/>
    </row>
    <row r="4256" spans="23:23" ht="24" customHeight="1">
      <c r="W4256" s="744"/>
    </row>
    <row r="4257" spans="23:23" ht="24" customHeight="1">
      <c r="W4257" s="744"/>
    </row>
    <row r="4258" spans="23:23" ht="24" customHeight="1">
      <c r="W4258" s="744"/>
    </row>
    <row r="4259" spans="23:23" ht="24" customHeight="1">
      <c r="W4259" s="744"/>
    </row>
    <row r="4260" spans="23:23" ht="24" customHeight="1">
      <c r="W4260" s="744"/>
    </row>
    <row r="4261" spans="23:23" ht="24" customHeight="1">
      <c r="W4261" s="744"/>
    </row>
    <row r="4262" spans="23:23" ht="24" customHeight="1">
      <c r="W4262" s="744"/>
    </row>
    <row r="4263" spans="23:23" ht="24" customHeight="1">
      <c r="W4263" s="744"/>
    </row>
    <row r="4264" spans="23:23" ht="24" customHeight="1">
      <c r="W4264" s="744"/>
    </row>
    <row r="4265" spans="23:23" ht="24" customHeight="1">
      <c r="W4265" s="744"/>
    </row>
    <row r="4266" spans="23:23" ht="24" customHeight="1">
      <c r="W4266" s="744"/>
    </row>
    <row r="4267" spans="23:23" ht="24" customHeight="1">
      <c r="W4267" s="744"/>
    </row>
    <row r="4268" spans="23:23" ht="24" customHeight="1">
      <c r="W4268" s="744"/>
    </row>
    <row r="4269" spans="23:23" ht="24" customHeight="1">
      <c r="W4269" s="744"/>
    </row>
    <row r="4270" spans="23:23" ht="24" customHeight="1">
      <c r="W4270" s="744"/>
    </row>
    <row r="4271" spans="23:23" ht="24" customHeight="1">
      <c r="W4271" s="744"/>
    </row>
    <row r="4272" spans="23:23" ht="24" customHeight="1">
      <c r="W4272" s="744"/>
    </row>
    <row r="4273" spans="23:23" ht="24" customHeight="1">
      <c r="W4273" s="744"/>
    </row>
    <row r="4274" spans="23:23" ht="24" customHeight="1">
      <c r="W4274" s="744"/>
    </row>
    <row r="4275" spans="23:23" ht="24" customHeight="1">
      <c r="W4275" s="744"/>
    </row>
    <row r="4276" spans="23:23" ht="24" customHeight="1">
      <c r="W4276" s="744"/>
    </row>
    <row r="4277" spans="23:23" ht="24" customHeight="1">
      <c r="W4277" s="744"/>
    </row>
    <row r="4278" spans="23:23" ht="24" customHeight="1">
      <c r="W4278" s="744"/>
    </row>
    <row r="4279" spans="23:23" ht="24" customHeight="1">
      <c r="W4279" s="744"/>
    </row>
    <row r="4280" spans="23:23" ht="24" customHeight="1">
      <c r="W4280" s="744"/>
    </row>
    <row r="4281" spans="23:23" ht="24" customHeight="1">
      <c r="W4281" s="744"/>
    </row>
    <row r="4282" spans="23:23" ht="24" customHeight="1">
      <c r="W4282" s="744"/>
    </row>
    <row r="4283" spans="23:23" ht="24" customHeight="1">
      <c r="W4283" s="744"/>
    </row>
    <row r="4284" spans="23:23" ht="24" customHeight="1">
      <c r="W4284" s="744"/>
    </row>
    <row r="4285" spans="23:23" ht="24" customHeight="1">
      <c r="W4285" s="744"/>
    </row>
    <row r="4286" spans="23:23" ht="24" customHeight="1">
      <c r="W4286" s="744"/>
    </row>
    <row r="4287" spans="23:23" ht="24" customHeight="1">
      <c r="W4287" s="744"/>
    </row>
    <row r="4288" spans="23:23" ht="24" customHeight="1">
      <c r="W4288" s="744"/>
    </row>
    <row r="4289" spans="23:23" ht="24" customHeight="1">
      <c r="W4289" s="744"/>
    </row>
    <row r="4290" spans="23:23" ht="24" customHeight="1">
      <c r="W4290" s="744"/>
    </row>
    <row r="4291" spans="23:23" ht="24" customHeight="1">
      <c r="W4291" s="744"/>
    </row>
    <row r="4292" spans="23:23" ht="24" customHeight="1">
      <c r="W4292" s="744"/>
    </row>
    <row r="4293" spans="23:23" ht="24" customHeight="1">
      <c r="W4293" s="744"/>
    </row>
    <row r="4294" spans="23:23" ht="24" customHeight="1">
      <c r="W4294" s="744"/>
    </row>
    <row r="4295" spans="23:23" ht="24" customHeight="1">
      <c r="W4295" s="744"/>
    </row>
    <row r="4296" spans="23:23" ht="24" customHeight="1">
      <c r="W4296" s="744"/>
    </row>
    <row r="4297" spans="23:23" ht="24" customHeight="1">
      <c r="W4297" s="744"/>
    </row>
    <row r="4298" spans="23:23" ht="24" customHeight="1">
      <c r="W4298" s="744"/>
    </row>
    <row r="4299" spans="23:23" ht="24" customHeight="1">
      <c r="W4299" s="744"/>
    </row>
    <row r="4300" spans="23:23" ht="24" customHeight="1">
      <c r="W4300" s="744"/>
    </row>
    <row r="4301" spans="23:23" ht="24" customHeight="1">
      <c r="W4301" s="744"/>
    </row>
    <row r="4302" spans="23:23" ht="24" customHeight="1">
      <c r="W4302" s="744"/>
    </row>
    <row r="4303" spans="23:23" ht="24" customHeight="1">
      <c r="W4303" s="744"/>
    </row>
    <row r="4304" spans="23:23" ht="24" customHeight="1">
      <c r="W4304" s="744"/>
    </row>
    <row r="4305" spans="23:23" ht="24" customHeight="1">
      <c r="W4305" s="744"/>
    </row>
    <row r="4306" spans="23:23" ht="24" customHeight="1">
      <c r="W4306" s="744"/>
    </row>
    <row r="4307" spans="23:23" ht="24" customHeight="1">
      <c r="W4307" s="744"/>
    </row>
    <row r="4308" spans="23:23" ht="24" customHeight="1">
      <c r="W4308" s="744"/>
    </row>
    <row r="4309" spans="23:23" ht="24" customHeight="1">
      <c r="W4309" s="744"/>
    </row>
    <row r="4310" spans="23:23" ht="24" customHeight="1">
      <c r="W4310" s="744"/>
    </row>
    <row r="4311" spans="23:23" ht="24" customHeight="1">
      <c r="W4311" s="744"/>
    </row>
    <row r="4312" spans="23:23" ht="24" customHeight="1">
      <c r="W4312" s="744"/>
    </row>
    <row r="4313" spans="23:23" ht="24" customHeight="1">
      <c r="W4313" s="744"/>
    </row>
    <row r="4314" spans="23:23" ht="24" customHeight="1">
      <c r="W4314" s="744"/>
    </row>
    <row r="4315" spans="23:23" ht="24" customHeight="1">
      <c r="W4315" s="744"/>
    </row>
    <row r="4316" spans="23:23" ht="24" customHeight="1">
      <c r="W4316" s="744"/>
    </row>
    <row r="4317" spans="23:23" ht="24" customHeight="1">
      <c r="W4317" s="744"/>
    </row>
    <row r="4318" spans="23:23" ht="24" customHeight="1">
      <c r="W4318" s="744"/>
    </row>
    <row r="4319" spans="23:23" ht="24" customHeight="1">
      <c r="W4319" s="744"/>
    </row>
    <row r="4320" spans="23:23" ht="24" customHeight="1">
      <c r="W4320" s="744"/>
    </row>
    <row r="4321" spans="23:23" ht="24" customHeight="1">
      <c r="W4321" s="744"/>
    </row>
    <row r="4322" spans="23:23" ht="24" customHeight="1">
      <c r="W4322" s="744"/>
    </row>
    <row r="4323" spans="23:23" ht="24" customHeight="1">
      <c r="W4323" s="744"/>
    </row>
    <row r="4324" spans="23:23" ht="24" customHeight="1">
      <c r="W4324" s="744"/>
    </row>
    <row r="4325" spans="23:23" ht="24" customHeight="1">
      <c r="W4325" s="744"/>
    </row>
    <row r="4326" spans="23:23" ht="24" customHeight="1">
      <c r="W4326" s="744"/>
    </row>
    <row r="4327" spans="23:23" ht="24" customHeight="1">
      <c r="W4327" s="744"/>
    </row>
    <row r="4328" spans="23:23" ht="24" customHeight="1">
      <c r="W4328" s="744"/>
    </row>
    <row r="4329" spans="23:23" ht="24" customHeight="1">
      <c r="W4329" s="744"/>
    </row>
    <row r="4330" spans="23:23" ht="24" customHeight="1">
      <c r="W4330" s="744"/>
    </row>
    <row r="4331" spans="23:23" ht="24" customHeight="1">
      <c r="W4331" s="744"/>
    </row>
    <row r="4332" spans="23:23" ht="24" customHeight="1">
      <c r="W4332" s="744"/>
    </row>
    <row r="4333" spans="23:23" ht="24" customHeight="1">
      <c r="W4333" s="744"/>
    </row>
    <row r="4334" spans="23:23" ht="24" customHeight="1">
      <c r="W4334" s="744"/>
    </row>
    <row r="4335" spans="23:23" ht="24" customHeight="1">
      <c r="W4335" s="744"/>
    </row>
    <row r="4336" spans="23:23" ht="24" customHeight="1">
      <c r="W4336" s="744"/>
    </row>
    <row r="4337" spans="23:23" ht="24" customHeight="1">
      <c r="W4337" s="744"/>
    </row>
    <row r="4338" spans="23:23" ht="24" customHeight="1">
      <c r="W4338" s="744"/>
    </row>
    <row r="4339" spans="23:23" ht="24" customHeight="1">
      <c r="W4339" s="744"/>
    </row>
    <row r="4340" spans="23:23" ht="24" customHeight="1">
      <c r="W4340" s="744"/>
    </row>
    <row r="4341" spans="23:23" ht="24" customHeight="1">
      <c r="W4341" s="744"/>
    </row>
    <row r="4342" spans="23:23" ht="24" customHeight="1">
      <c r="W4342" s="744"/>
    </row>
    <row r="4343" spans="23:23" ht="24" customHeight="1">
      <c r="W4343" s="744"/>
    </row>
    <row r="4344" spans="23:23" ht="24" customHeight="1">
      <c r="W4344" s="744"/>
    </row>
    <row r="4345" spans="23:23" ht="24" customHeight="1">
      <c r="W4345" s="744"/>
    </row>
    <row r="4346" spans="23:23" ht="24" customHeight="1">
      <c r="W4346" s="744"/>
    </row>
    <row r="4347" spans="23:23" ht="24" customHeight="1">
      <c r="W4347" s="744"/>
    </row>
    <row r="4348" spans="23:23" ht="24" customHeight="1">
      <c r="W4348" s="744"/>
    </row>
    <row r="4349" spans="23:23" ht="24" customHeight="1">
      <c r="W4349" s="744"/>
    </row>
    <row r="4350" spans="23:23" ht="24" customHeight="1">
      <c r="W4350" s="744"/>
    </row>
    <row r="4351" spans="23:23" ht="24" customHeight="1">
      <c r="W4351" s="744"/>
    </row>
    <row r="4352" spans="23:23" ht="24" customHeight="1">
      <c r="W4352" s="744"/>
    </row>
    <row r="4353" spans="23:23" ht="24" customHeight="1">
      <c r="W4353" s="744"/>
    </row>
    <row r="4354" spans="23:23" ht="24" customHeight="1">
      <c r="W4354" s="744"/>
    </row>
    <row r="4355" spans="23:23" ht="24" customHeight="1">
      <c r="W4355" s="744"/>
    </row>
    <row r="4356" spans="23:23" ht="24" customHeight="1">
      <c r="W4356" s="744"/>
    </row>
    <row r="4357" spans="23:23" ht="24" customHeight="1">
      <c r="W4357" s="744"/>
    </row>
    <row r="4358" spans="23:23" ht="24" customHeight="1">
      <c r="W4358" s="744"/>
    </row>
    <row r="4359" spans="23:23" ht="24" customHeight="1">
      <c r="W4359" s="744"/>
    </row>
    <row r="4360" spans="23:23" ht="24" customHeight="1">
      <c r="W4360" s="744"/>
    </row>
    <row r="4361" spans="23:23" ht="24" customHeight="1">
      <c r="W4361" s="744"/>
    </row>
    <row r="4362" spans="23:23" ht="24" customHeight="1">
      <c r="W4362" s="744"/>
    </row>
    <row r="4363" spans="23:23" ht="24" customHeight="1">
      <c r="W4363" s="744"/>
    </row>
    <row r="4364" spans="23:23" ht="24" customHeight="1">
      <c r="W4364" s="744"/>
    </row>
    <row r="4365" spans="23:23" ht="24" customHeight="1">
      <c r="W4365" s="744"/>
    </row>
    <row r="4366" spans="23:23" ht="24" customHeight="1">
      <c r="W4366" s="744"/>
    </row>
    <row r="4367" spans="23:23" ht="24" customHeight="1">
      <c r="W4367" s="744"/>
    </row>
    <row r="4368" spans="23:23" ht="24" customHeight="1">
      <c r="W4368" s="744"/>
    </row>
    <row r="4369" spans="23:23" ht="24" customHeight="1">
      <c r="W4369" s="744"/>
    </row>
    <row r="4370" spans="23:23" ht="24" customHeight="1">
      <c r="W4370" s="744"/>
    </row>
    <row r="4371" spans="23:23" ht="24" customHeight="1">
      <c r="W4371" s="744"/>
    </row>
    <row r="4372" spans="23:23" ht="24" customHeight="1">
      <c r="W4372" s="744"/>
    </row>
    <row r="4373" spans="23:23" ht="24" customHeight="1">
      <c r="W4373" s="744"/>
    </row>
    <row r="4374" spans="23:23" ht="24" customHeight="1">
      <c r="W4374" s="744"/>
    </row>
    <row r="4375" spans="23:23" ht="24" customHeight="1">
      <c r="W4375" s="744"/>
    </row>
    <row r="4376" spans="23:23" ht="24" customHeight="1">
      <c r="W4376" s="744"/>
    </row>
    <row r="4377" spans="23:23" ht="24" customHeight="1">
      <c r="W4377" s="744"/>
    </row>
    <row r="4378" spans="23:23" ht="24" customHeight="1">
      <c r="W4378" s="744"/>
    </row>
    <row r="4379" spans="23:23" ht="24" customHeight="1">
      <c r="W4379" s="744"/>
    </row>
    <row r="4380" spans="23:23" ht="24" customHeight="1">
      <c r="W4380" s="744"/>
    </row>
    <row r="4381" spans="23:23" ht="24" customHeight="1">
      <c r="W4381" s="744"/>
    </row>
    <row r="4382" spans="23:23" ht="24" customHeight="1">
      <c r="W4382" s="744"/>
    </row>
    <row r="4383" spans="23:23" ht="24" customHeight="1">
      <c r="W4383" s="744"/>
    </row>
    <row r="4384" spans="23:23" ht="24" customHeight="1">
      <c r="W4384" s="744"/>
    </row>
    <row r="4385" spans="23:23" ht="24" customHeight="1">
      <c r="W4385" s="744"/>
    </row>
    <row r="4386" spans="23:23" ht="24" customHeight="1">
      <c r="W4386" s="744"/>
    </row>
    <row r="4387" spans="23:23" ht="24" customHeight="1">
      <c r="W4387" s="744"/>
    </row>
    <row r="4388" spans="23:23" ht="24" customHeight="1">
      <c r="W4388" s="744"/>
    </row>
    <row r="4389" spans="23:23" ht="24" customHeight="1">
      <c r="W4389" s="744"/>
    </row>
    <row r="4390" spans="23:23" ht="24" customHeight="1">
      <c r="W4390" s="744"/>
    </row>
    <row r="4391" spans="23:23" ht="24" customHeight="1">
      <c r="W4391" s="744"/>
    </row>
    <row r="4392" spans="23:23" ht="24" customHeight="1">
      <c r="W4392" s="744"/>
    </row>
    <row r="4393" spans="23:23" ht="24" customHeight="1">
      <c r="W4393" s="744"/>
    </row>
    <row r="4394" spans="23:23" ht="24" customHeight="1">
      <c r="W4394" s="744"/>
    </row>
    <row r="4395" spans="23:23" ht="24" customHeight="1">
      <c r="W4395" s="744"/>
    </row>
    <row r="4396" spans="23:23" ht="24" customHeight="1">
      <c r="W4396" s="744"/>
    </row>
    <row r="4397" spans="23:23" ht="24" customHeight="1">
      <c r="W4397" s="744"/>
    </row>
    <row r="4398" spans="23:23" ht="24" customHeight="1">
      <c r="W4398" s="744"/>
    </row>
    <row r="4399" spans="23:23" ht="24" customHeight="1">
      <c r="W4399" s="744"/>
    </row>
    <row r="4400" spans="23:23" ht="24" customHeight="1">
      <c r="W4400" s="744"/>
    </row>
    <row r="4401" spans="23:23" ht="24" customHeight="1">
      <c r="W4401" s="744"/>
    </row>
    <row r="4402" spans="23:23" ht="24" customHeight="1">
      <c r="W4402" s="744"/>
    </row>
    <row r="4403" spans="23:23" ht="24" customHeight="1">
      <c r="W4403" s="744"/>
    </row>
    <row r="4404" spans="23:23" ht="24" customHeight="1">
      <c r="W4404" s="744"/>
    </row>
    <row r="4405" spans="23:23" ht="24" customHeight="1">
      <c r="W4405" s="744"/>
    </row>
    <row r="4406" spans="23:23" ht="24" customHeight="1">
      <c r="W4406" s="744"/>
    </row>
    <row r="4407" spans="23:23" ht="24" customHeight="1">
      <c r="W4407" s="744"/>
    </row>
    <row r="4408" spans="23:23" ht="24" customHeight="1">
      <c r="W4408" s="744"/>
    </row>
    <row r="4409" spans="23:23" ht="24" customHeight="1">
      <c r="W4409" s="744"/>
    </row>
    <row r="4410" spans="23:23" ht="24" customHeight="1">
      <c r="W4410" s="744"/>
    </row>
    <row r="4411" spans="23:23" ht="24" customHeight="1">
      <c r="W4411" s="744"/>
    </row>
    <row r="4412" spans="23:23" ht="24" customHeight="1">
      <c r="W4412" s="744"/>
    </row>
    <row r="4413" spans="23:23" ht="24" customHeight="1">
      <c r="W4413" s="744"/>
    </row>
    <row r="4414" spans="23:23" ht="24" customHeight="1">
      <c r="W4414" s="744"/>
    </row>
    <row r="4415" spans="23:23" ht="24" customHeight="1">
      <c r="W4415" s="744"/>
    </row>
    <row r="4416" spans="23:23" ht="24" customHeight="1">
      <c r="W4416" s="744"/>
    </row>
    <row r="4417" spans="23:23" ht="24" customHeight="1">
      <c r="W4417" s="744"/>
    </row>
    <row r="4418" spans="23:23" ht="24" customHeight="1">
      <c r="W4418" s="744"/>
    </row>
    <row r="4419" spans="23:23" ht="24" customHeight="1">
      <c r="W4419" s="744"/>
    </row>
    <row r="4420" spans="23:23" ht="24" customHeight="1">
      <c r="W4420" s="744"/>
    </row>
    <row r="4421" spans="23:23" ht="24" customHeight="1">
      <c r="W4421" s="744"/>
    </row>
    <row r="4422" spans="23:23" ht="24" customHeight="1">
      <c r="W4422" s="744"/>
    </row>
    <row r="4423" spans="23:23" ht="24" customHeight="1">
      <c r="W4423" s="744"/>
    </row>
    <row r="4424" spans="23:23" ht="24" customHeight="1">
      <c r="W4424" s="744"/>
    </row>
    <row r="4425" spans="23:23" ht="24" customHeight="1">
      <c r="W4425" s="744"/>
    </row>
    <row r="4426" spans="23:23" ht="24" customHeight="1">
      <c r="W4426" s="744"/>
    </row>
    <row r="4427" spans="23:23" ht="24" customHeight="1">
      <c r="W4427" s="744"/>
    </row>
    <row r="4428" spans="23:23" ht="24" customHeight="1">
      <c r="W4428" s="744"/>
    </row>
    <row r="4429" spans="23:23" ht="24" customHeight="1">
      <c r="W4429" s="744"/>
    </row>
    <row r="4430" spans="23:23" ht="24" customHeight="1">
      <c r="W4430" s="744"/>
    </row>
    <row r="4431" spans="23:23" ht="24" customHeight="1">
      <c r="W4431" s="744"/>
    </row>
    <row r="4432" spans="23:23" ht="24" customHeight="1">
      <c r="W4432" s="744"/>
    </row>
    <row r="4433" spans="23:23" ht="24" customHeight="1">
      <c r="W4433" s="744"/>
    </row>
    <row r="4434" spans="23:23" ht="24" customHeight="1">
      <c r="W4434" s="744"/>
    </row>
    <row r="4435" spans="23:23" ht="24" customHeight="1">
      <c r="W4435" s="744"/>
    </row>
    <row r="4436" spans="23:23" ht="24" customHeight="1">
      <c r="W4436" s="744"/>
    </row>
    <row r="4437" spans="23:23" ht="24" customHeight="1">
      <c r="W4437" s="744"/>
    </row>
    <row r="4438" spans="23:23" ht="24" customHeight="1">
      <c r="W4438" s="744"/>
    </row>
    <row r="4439" spans="23:23" ht="24" customHeight="1">
      <c r="W4439" s="744"/>
    </row>
    <row r="4440" spans="23:23" ht="24" customHeight="1">
      <c r="W4440" s="744"/>
    </row>
    <row r="4441" spans="23:23" ht="24" customHeight="1">
      <c r="W4441" s="744"/>
    </row>
    <row r="4442" spans="23:23" ht="24" customHeight="1">
      <c r="W4442" s="744"/>
    </row>
    <row r="4443" spans="23:23" ht="24" customHeight="1">
      <c r="W4443" s="744"/>
    </row>
    <row r="4444" spans="23:23" ht="24" customHeight="1">
      <c r="W4444" s="744"/>
    </row>
    <row r="4445" spans="23:23" ht="24" customHeight="1">
      <c r="W4445" s="744"/>
    </row>
    <row r="4446" spans="23:23" ht="24" customHeight="1">
      <c r="W4446" s="744"/>
    </row>
    <row r="4447" spans="23:23" ht="24" customHeight="1">
      <c r="W4447" s="744"/>
    </row>
    <row r="4448" spans="23:23" ht="24" customHeight="1">
      <c r="W4448" s="744"/>
    </row>
    <row r="4449" spans="23:23" ht="24" customHeight="1">
      <c r="W4449" s="744"/>
    </row>
    <row r="4450" spans="23:23" ht="24" customHeight="1">
      <c r="W4450" s="744"/>
    </row>
    <row r="4451" spans="23:23" ht="24" customHeight="1">
      <c r="W4451" s="744"/>
    </row>
    <row r="4452" spans="23:23" ht="24" customHeight="1">
      <c r="W4452" s="744"/>
    </row>
    <row r="4453" spans="23:23" ht="24" customHeight="1">
      <c r="W4453" s="744"/>
    </row>
    <row r="4454" spans="23:23" ht="24" customHeight="1">
      <c r="W4454" s="744"/>
    </row>
    <row r="4455" spans="23:23" ht="24" customHeight="1">
      <c r="W4455" s="744"/>
    </row>
    <row r="4456" spans="23:23" ht="24" customHeight="1">
      <c r="W4456" s="744"/>
    </row>
    <row r="4457" spans="23:23" ht="24" customHeight="1">
      <c r="W4457" s="744"/>
    </row>
    <row r="4458" spans="23:23" ht="24" customHeight="1">
      <c r="W4458" s="744"/>
    </row>
    <row r="4459" spans="23:23" ht="24" customHeight="1">
      <c r="W4459" s="744"/>
    </row>
    <row r="4460" spans="23:23" ht="24" customHeight="1">
      <c r="W4460" s="744"/>
    </row>
    <row r="4461" spans="23:23" ht="24" customHeight="1">
      <c r="W4461" s="744"/>
    </row>
    <row r="4462" spans="23:23" ht="24" customHeight="1">
      <c r="W4462" s="744"/>
    </row>
    <row r="4463" spans="23:23" ht="24" customHeight="1">
      <c r="W4463" s="744"/>
    </row>
    <row r="4464" spans="23:23" ht="24" customHeight="1">
      <c r="W4464" s="744"/>
    </row>
    <row r="4465" spans="23:23" ht="24" customHeight="1">
      <c r="W4465" s="744"/>
    </row>
    <row r="4466" spans="23:23" ht="24" customHeight="1">
      <c r="W4466" s="744"/>
    </row>
    <row r="4467" spans="23:23" ht="24" customHeight="1">
      <c r="W4467" s="744"/>
    </row>
    <row r="4468" spans="23:23" ht="24" customHeight="1">
      <c r="W4468" s="744"/>
    </row>
    <row r="4469" spans="23:23" ht="24" customHeight="1">
      <c r="W4469" s="744"/>
    </row>
    <row r="4470" spans="23:23" ht="24" customHeight="1">
      <c r="W4470" s="744"/>
    </row>
    <row r="4471" spans="23:23" ht="24" customHeight="1">
      <c r="W4471" s="744"/>
    </row>
    <row r="4472" spans="23:23" ht="24" customHeight="1">
      <c r="W4472" s="744"/>
    </row>
    <row r="4473" spans="23:23" ht="24" customHeight="1">
      <c r="W4473" s="744"/>
    </row>
    <row r="4474" spans="23:23" ht="24" customHeight="1">
      <c r="W4474" s="744"/>
    </row>
    <row r="4475" spans="23:23" ht="24" customHeight="1">
      <c r="W4475" s="744"/>
    </row>
    <row r="4476" spans="23:23" ht="24" customHeight="1">
      <c r="W4476" s="744"/>
    </row>
    <row r="4477" spans="23:23" ht="24" customHeight="1">
      <c r="W4477" s="744"/>
    </row>
    <row r="4478" spans="23:23" ht="24" customHeight="1">
      <c r="W4478" s="744"/>
    </row>
    <row r="4479" spans="23:23" ht="24" customHeight="1">
      <c r="W4479" s="744"/>
    </row>
    <row r="4480" spans="23:23" ht="24" customHeight="1">
      <c r="W4480" s="744"/>
    </row>
    <row r="4481" spans="23:23" ht="24" customHeight="1">
      <c r="W4481" s="744"/>
    </row>
    <row r="4482" spans="23:23" ht="24" customHeight="1">
      <c r="W4482" s="744"/>
    </row>
    <row r="4483" spans="23:23" ht="24" customHeight="1">
      <c r="W4483" s="744"/>
    </row>
    <row r="4484" spans="23:23" ht="24" customHeight="1">
      <c r="W4484" s="744"/>
    </row>
    <row r="4485" spans="23:23" ht="24" customHeight="1">
      <c r="W4485" s="744"/>
    </row>
    <row r="4486" spans="23:23" ht="24" customHeight="1">
      <c r="W4486" s="744"/>
    </row>
    <row r="4487" spans="23:23" ht="24" customHeight="1">
      <c r="W4487" s="744"/>
    </row>
    <row r="4488" spans="23:23" ht="24" customHeight="1">
      <c r="W4488" s="744"/>
    </row>
    <row r="4489" spans="23:23" ht="24" customHeight="1">
      <c r="W4489" s="744"/>
    </row>
    <row r="4490" spans="23:23" ht="24" customHeight="1">
      <c r="W4490" s="744"/>
    </row>
    <row r="4491" spans="23:23" ht="24" customHeight="1">
      <c r="W4491" s="744"/>
    </row>
    <row r="4492" spans="23:23" ht="24" customHeight="1">
      <c r="W4492" s="744"/>
    </row>
    <row r="4493" spans="23:23" ht="24" customHeight="1">
      <c r="W4493" s="744"/>
    </row>
    <row r="4494" spans="23:23" ht="24" customHeight="1">
      <c r="W4494" s="744"/>
    </row>
    <row r="4495" spans="23:23" ht="24" customHeight="1">
      <c r="W4495" s="744"/>
    </row>
    <row r="4496" spans="23:23" ht="24" customHeight="1">
      <c r="W4496" s="744"/>
    </row>
    <row r="4497" spans="23:23" ht="24" customHeight="1">
      <c r="W4497" s="744"/>
    </row>
    <row r="4498" spans="23:23" ht="24" customHeight="1">
      <c r="W4498" s="744"/>
    </row>
    <row r="4499" spans="23:23" ht="24" customHeight="1">
      <c r="W4499" s="744"/>
    </row>
    <row r="4500" spans="23:23" ht="24" customHeight="1">
      <c r="W4500" s="744"/>
    </row>
    <row r="4501" spans="23:23" ht="24" customHeight="1">
      <c r="W4501" s="744"/>
    </row>
    <row r="4502" spans="23:23" ht="24" customHeight="1">
      <c r="W4502" s="744"/>
    </row>
    <row r="4503" spans="23:23" ht="24" customHeight="1">
      <c r="W4503" s="744"/>
    </row>
    <row r="4504" spans="23:23" ht="24" customHeight="1">
      <c r="W4504" s="744"/>
    </row>
    <row r="4505" spans="23:23" ht="24" customHeight="1">
      <c r="W4505" s="744"/>
    </row>
    <row r="4506" spans="23:23" ht="24" customHeight="1">
      <c r="W4506" s="744"/>
    </row>
    <row r="4507" spans="23:23" ht="24" customHeight="1">
      <c r="W4507" s="744"/>
    </row>
    <row r="4508" spans="23:23" ht="24" customHeight="1">
      <c r="W4508" s="744"/>
    </row>
    <row r="4509" spans="23:23" ht="24" customHeight="1">
      <c r="W4509" s="744"/>
    </row>
    <row r="4510" spans="23:23" ht="24" customHeight="1">
      <c r="W4510" s="744"/>
    </row>
    <row r="4511" spans="23:23" ht="24" customHeight="1">
      <c r="W4511" s="744"/>
    </row>
    <row r="4512" spans="23:23" ht="24" customHeight="1">
      <c r="W4512" s="744"/>
    </row>
    <row r="4513" spans="23:23" ht="24" customHeight="1">
      <c r="W4513" s="744"/>
    </row>
    <row r="4514" spans="23:23" ht="24" customHeight="1">
      <c r="W4514" s="744"/>
    </row>
    <row r="4515" spans="23:23" ht="24" customHeight="1">
      <c r="W4515" s="744"/>
    </row>
    <row r="4516" spans="23:23" ht="24" customHeight="1">
      <c r="W4516" s="744"/>
    </row>
    <row r="4517" spans="23:23" ht="24" customHeight="1">
      <c r="W4517" s="744"/>
    </row>
    <row r="4518" spans="23:23" ht="24" customHeight="1">
      <c r="W4518" s="744"/>
    </row>
    <row r="4519" spans="23:23" ht="24" customHeight="1">
      <c r="W4519" s="744"/>
    </row>
    <row r="4520" spans="23:23" ht="24" customHeight="1">
      <c r="W4520" s="744"/>
    </row>
    <row r="4521" spans="23:23" ht="24" customHeight="1">
      <c r="W4521" s="744"/>
    </row>
    <row r="4522" spans="23:23" ht="24" customHeight="1">
      <c r="W4522" s="744"/>
    </row>
    <row r="4523" spans="23:23" ht="24" customHeight="1">
      <c r="W4523" s="744"/>
    </row>
    <row r="4524" spans="23:23" ht="24" customHeight="1">
      <c r="W4524" s="744"/>
    </row>
    <row r="4525" spans="23:23" ht="24" customHeight="1">
      <c r="W4525" s="744"/>
    </row>
    <row r="4526" spans="23:23" ht="24" customHeight="1">
      <c r="W4526" s="744"/>
    </row>
    <row r="4527" spans="23:23" ht="24" customHeight="1">
      <c r="W4527" s="744"/>
    </row>
    <row r="4528" spans="23:23" ht="24" customHeight="1">
      <c r="W4528" s="744"/>
    </row>
    <row r="4529" spans="23:23" ht="24" customHeight="1">
      <c r="W4529" s="744"/>
    </row>
    <row r="4530" spans="23:23" ht="24" customHeight="1">
      <c r="W4530" s="744"/>
    </row>
    <row r="4531" spans="23:23" ht="24" customHeight="1">
      <c r="W4531" s="744"/>
    </row>
    <row r="4532" spans="23:23" ht="24" customHeight="1">
      <c r="W4532" s="744"/>
    </row>
    <row r="4533" spans="23:23" ht="24" customHeight="1">
      <c r="W4533" s="744"/>
    </row>
    <row r="4534" spans="23:23" ht="24" customHeight="1">
      <c r="W4534" s="744"/>
    </row>
    <row r="4535" spans="23:23" ht="24" customHeight="1">
      <c r="W4535" s="744"/>
    </row>
    <row r="4536" spans="23:23" ht="24" customHeight="1">
      <c r="W4536" s="744"/>
    </row>
    <row r="4537" spans="23:23" ht="24" customHeight="1">
      <c r="W4537" s="744"/>
    </row>
    <row r="4538" spans="23:23" ht="24" customHeight="1">
      <c r="W4538" s="744"/>
    </row>
    <row r="4539" spans="23:23" ht="24" customHeight="1">
      <c r="W4539" s="744"/>
    </row>
    <row r="4540" spans="23:23" ht="24" customHeight="1">
      <c r="W4540" s="744"/>
    </row>
    <row r="4541" spans="23:23" ht="24" customHeight="1">
      <c r="W4541" s="744"/>
    </row>
    <row r="4542" spans="23:23" ht="24" customHeight="1">
      <c r="W4542" s="744"/>
    </row>
    <row r="4543" spans="23:23" ht="24" customHeight="1">
      <c r="W4543" s="744"/>
    </row>
    <row r="4544" spans="23:23" ht="24" customHeight="1">
      <c r="W4544" s="744"/>
    </row>
    <row r="4545" spans="23:23" ht="24" customHeight="1">
      <c r="W4545" s="744"/>
    </row>
    <row r="4546" spans="23:23" ht="24" customHeight="1">
      <c r="W4546" s="744"/>
    </row>
    <row r="4547" spans="23:23" ht="24" customHeight="1">
      <c r="W4547" s="744"/>
    </row>
    <row r="4548" spans="23:23" ht="24" customHeight="1">
      <c r="W4548" s="744"/>
    </row>
    <row r="4549" spans="23:23" ht="24" customHeight="1">
      <c r="W4549" s="744"/>
    </row>
    <row r="4550" spans="23:23" ht="24" customHeight="1">
      <c r="W4550" s="744"/>
    </row>
    <row r="4551" spans="23:23" ht="24" customHeight="1">
      <c r="W4551" s="744"/>
    </row>
    <row r="4552" spans="23:23" ht="24" customHeight="1">
      <c r="W4552" s="744"/>
    </row>
    <row r="4553" spans="23:23" ht="24" customHeight="1">
      <c r="W4553" s="744"/>
    </row>
    <row r="4554" spans="23:23" ht="24" customHeight="1">
      <c r="W4554" s="744"/>
    </row>
    <row r="4555" spans="23:23" ht="24" customHeight="1">
      <c r="W4555" s="744"/>
    </row>
    <row r="4556" spans="23:23" ht="24" customHeight="1">
      <c r="W4556" s="744"/>
    </row>
    <row r="4557" spans="23:23" ht="24" customHeight="1">
      <c r="W4557" s="744"/>
    </row>
    <row r="4558" spans="23:23" ht="24" customHeight="1">
      <c r="W4558" s="744"/>
    </row>
    <row r="4559" spans="23:23" ht="24" customHeight="1">
      <c r="W4559" s="744"/>
    </row>
    <row r="4560" spans="23:23" ht="24" customHeight="1">
      <c r="W4560" s="744"/>
    </row>
    <row r="4561" spans="23:23" ht="24" customHeight="1">
      <c r="W4561" s="744"/>
    </row>
    <row r="4562" spans="23:23" ht="24" customHeight="1">
      <c r="W4562" s="744"/>
    </row>
    <row r="4563" spans="23:23" ht="24" customHeight="1">
      <c r="W4563" s="744"/>
    </row>
    <row r="4564" spans="23:23" ht="24" customHeight="1">
      <c r="W4564" s="744"/>
    </row>
    <row r="4565" spans="23:23" ht="24" customHeight="1">
      <c r="W4565" s="744"/>
    </row>
    <row r="4566" spans="23:23" ht="24" customHeight="1">
      <c r="W4566" s="744"/>
    </row>
    <row r="4567" spans="23:23" ht="24" customHeight="1">
      <c r="W4567" s="744"/>
    </row>
    <row r="4568" spans="23:23" ht="24" customHeight="1">
      <c r="W4568" s="744"/>
    </row>
    <row r="4569" spans="23:23" ht="24" customHeight="1">
      <c r="W4569" s="744"/>
    </row>
    <row r="4570" spans="23:23" ht="24" customHeight="1">
      <c r="W4570" s="744"/>
    </row>
    <row r="4571" spans="23:23" ht="24" customHeight="1">
      <c r="W4571" s="744"/>
    </row>
    <row r="4572" spans="23:23" ht="24" customHeight="1">
      <c r="W4572" s="744"/>
    </row>
    <row r="4573" spans="23:23" ht="24" customHeight="1">
      <c r="W4573" s="744"/>
    </row>
    <row r="4574" spans="23:23" ht="24" customHeight="1">
      <c r="W4574" s="744"/>
    </row>
    <row r="4575" spans="23:23" ht="24" customHeight="1">
      <c r="W4575" s="744"/>
    </row>
    <row r="4576" spans="23:23" ht="24" customHeight="1">
      <c r="W4576" s="744"/>
    </row>
    <row r="4577" spans="23:23" ht="24" customHeight="1">
      <c r="W4577" s="744"/>
    </row>
    <row r="4578" spans="23:23" ht="24" customHeight="1">
      <c r="W4578" s="744"/>
    </row>
    <row r="4579" spans="23:23" ht="24" customHeight="1">
      <c r="W4579" s="744"/>
    </row>
    <row r="4580" spans="23:23" ht="24" customHeight="1">
      <c r="W4580" s="744"/>
    </row>
    <row r="4581" spans="23:23" ht="24" customHeight="1">
      <c r="W4581" s="744"/>
    </row>
    <row r="4582" spans="23:23" ht="24" customHeight="1">
      <c r="W4582" s="744"/>
    </row>
    <row r="4583" spans="23:23" ht="24" customHeight="1">
      <c r="W4583" s="744"/>
    </row>
    <row r="4584" spans="23:23" ht="24" customHeight="1">
      <c r="W4584" s="744"/>
    </row>
    <row r="4585" spans="23:23" ht="24" customHeight="1">
      <c r="W4585" s="744"/>
    </row>
    <row r="4586" spans="23:23" ht="24" customHeight="1">
      <c r="W4586" s="744"/>
    </row>
    <row r="4587" spans="23:23" ht="24" customHeight="1">
      <c r="W4587" s="744"/>
    </row>
    <row r="4588" spans="23:23" ht="24" customHeight="1">
      <c r="W4588" s="744"/>
    </row>
    <row r="4589" spans="23:23" ht="24" customHeight="1">
      <c r="W4589" s="744"/>
    </row>
    <row r="4590" spans="23:23" ht="24" customHeight="1">
      <c r="W4590" s="744"/>
    </row>
    <row r="4591" spans="23:23" ht="24" customHeight="1">
      <c r="W4591" s="744"/>
    </row>
    <row r="4592" spans="23:23" ht="24" customHeight="1">
      <c r="W4592" s="744"/>
    </row>
    <row r="4593" spans="23:23" ht="24" customHeight="1">
      <c r="W4593" s="744"/>
    </row>
    <row r="4594" spans="23:23" ht="24" customHeight="1">
      <c r="W4594" s="744"/>
    </row>
    <row r="4595" spans="23:23" ht="24" customHeight="1">
      <c r="W4595" s="744"/>
    </row>
    <row r="4596" spans="23:23" ht="24" customHeight="1">
      <c r="W4596" s="744"/>
    </row>
    <row r="4597" spans="23:23" ht="24" customHeight="1">
      <c r="W4597" s="744"/>
    </row>
    <row r="4598" spans="23:23" ht="24" customHeight="1">
      <c r="W4598" s="744"/>
    </row>
    <row r="4599" spans="23:23" ht="24" customHeight="1">
      <c r="W4599" s="744"/>
    </row>
    <row r="4600" spans="23:23" ht="24" customHeight="1">
      <c r="W4600" s="744"/>
    </row>
    <row r="4601" spans="23:23" ht="24" customHeight="1">
      <c r="W4601" s="744"/>
    </row>
    <row r="4602" spans="23:23" ht="24" customHeight="1">
      <c r="W4602" s="744"/>
    </row>
    <row r="4603" spans="23:23" ht="24" customHeight="1">
      <c r="W4603" s="744"/>
    </row>
    <row r="4604" spans="23:23" ht="24" customHeight="1">
      <c r="W4604" s="744"/>
    </row>
    <row r="4605" spans="23:23" ht="24" customHeight="1">
      <c r="W4605" s="744"/>
    </row>
    <row r="4606" spans="23:23" ht="24" customHeight="1">
      <c r="W4606" s="744"/>
    </row>
    <row r="4607" spans="23:23" ht="24" customHeight="1">
      <c r="W4607" s="744"/>
    </row>
    <row r="4608" spans="23:23" ht="24" customHeight="1">
      <c r="W4608" s="744"/>
    </row>
    <row r="4609" spans="23:23" ht="24" customHeight="1">
      <c r="W4609" s="744"/>
    </row>
    <row r="4610" spans="23:23" ht="24" customHeight="1">
      <c r="W4610" s="744"/>
    </row>
    <row r="4611" spans="23:23" ht="24" customHeight="1">
      <c r="W4611" s="744"/>
    </row>
    <row r="4612" spans="23:23" ht="24" customHeight="1">
      <c r="W4612" s="744"/>
    </row>
    <row r="4613" spans="23:23" ht="24" customHeight="1">
      <c r="W4613" s="744"/>
    </row>
    <row r="4614" spans="23:23" ht="24" customHeight="1">
      <c r="W4614" s="744"/>
    </row>
    <row r="4615" spans="23:23" ht="24" customHeight="1">
      <c r="W4615" s="744"/>
    </row>
    <row r="4616" spans="23:23" ht="24" customHeight="1">
      <c r="W4616" s="744"/>
    </row>
    <row r="4617" spans="23:23" ht="24" customHeight="1">
      <c r="W4617" s="744"/>
    </row>
    <row r="4618" spans="23:23" ht="24" customHeight="1">
      <c r="W4618" s="744"/>
    </row>
    <row r="4619" spans="23:23" ht="24" customHeight="1">
      <c r="W4619" s="744"/>
    </row>
    <row r="4620" spans="23:23" ht="24" customHeight="1">
      <c r="W4620" s="744"/>
    </row>
    <row r="4621" spans="23:23" ht="24" customHeight="1">
      <c r="W4621" s="744"/>
    </row>
    <row r="4622" spans="23:23" ht="24" customHeight="1">
      <c r="W4622" s="744"/>
    </row>
    <row r="4623" spans="23:23" ht="24" customHeight="1">
      <c r="W4623" s="744"/>
    </row>
    <row r="4624" spans="23:23" ht="24" customHeight="1">
      <c r="W4624" s="744"/>
    </row>
    <row r="4625" spans="23:23" ht="24" customHeight="1">
      <c r="W4625" s="744"/>
    </row>
    <row r="4626" spans="23:23" ht="24" customHeight="1">
      <c r="W4626" s="744"/>
    </row>
    <row r="4627" spans="23:23" ht="24" customHeight="1">
      <c r="W4627" s="744"/>
    </row>
    <row r="4628" spans="23:23" ht="24" customHeight="1">
      <c r="W4628" s="744"/>
    </row>
    <row r="4629" spans="23:23" ht="24" customHeight="1">
      <c r="W4629" s="744"/>
    </row>
    <row r="4630" spans="23:23" ht="24" customHeight="1">
      <c r="W4630" s="744"/>
    </row>
    <row r="4631" spans="23:23" ht="24" customHeight="1">
      <c r="W4631" s="744"/>
    </row>
    <row r="4632" spans="23:23" ht="24" customHeight="1">
      <c r="W4632" s="744"/>
    </row>
    <row r="4633" spans="23:23" ht="24" customHeight="1">
      <c r="W4633" s="744"/>
    </row>
    <row r="4634" spans="23:23" ht="24" customHeight="1">
      <c r="W4634" s="744"/>
    </row>
    <row r="4635" spans="23:23" ht="24" customHeight="1">
      <c r="W4635" s="744"/>
    </row>
    <row r="4636" spans="23:23" ht="24" customHeight="1">
      <c r="W4636" s="744"/>
    </row>
    <row r="4637" spans="23:23" ht="24" customHeight="1">
      <c r="W4637" s="744"/>
    </row>
    <row r="4638" spans="23:23" ht="24" customHeight="1">
      <c r="W4638" s="744"/>
    </row>
    <row r="4639" spans="23:23" ht="24" customHeight="1">
      <c r="W4639" s="744"/>
    </row>
    <row r="4640" spans="23:23" ht="24" customHeight="1">
      <c r="W4640" s="744"/>
    </row>
    <row r="4641" spans="23:23" ht="24" customHeight="1">
      <c r="W4641" s="744"/>
    </row>
    <row r="4642" spans="23:23" ht="24" customHeight="1">
      <c r="W4642" s="744"/>
    </row>
    <row r="4643" spans="23:23" ht="24" customHeight="1">
      <c r="W4643" s="744"/>
    </row>
    <row r="4644" spans="23:23" ht="24" customHeight="1">
      <c r="W4644" s="744"/>
    </row>
    <row r="4645" spans="23:23" ht="24" customHeight="1">
      <c r="W4645" s="744"/>
    </row>
    <row r="4646" spans="23:23" ht="24" customHeight="1">
      <c r="W4646" s="744"/>
    </row>
    <row r="4647" spans="23:23" ht="24" customHeight="1">
      <c r="W4647" s="744"/>
    </row>
    <row r="4648" spans="23:23" ht="24" customHeight="1">
      <c r="W4648" s="744"/>
    </row>
    <row r="4649" spans="23:23" ht="24" customHeight="1">
      <c r="W4649" s="744"/>
    </row>
    <row r="4650" spans="23:23" ht="24" customHeight="1">
      <c r="W4650" s="744"/>
    </row>
    <row r="4651" spans="23:23" ht="24" customHeight="1">
      <c r="W4651" s="744"/>
    </row>
    <row r="4652" spans="23:23" ht="24" customHeight="1">
      <c r="W4652" s="744"/>
    </row>
    <row r="4653" spans="23:23" ht="24" customHeight="1">
      <c r="W4653" s="744"/>
    </row>
    <row r="4654" spans="23:23" ht="24" customHeight="1">
      <c r="W4654" s="744"/>
    </row>
    <row r="4655" spans="23:23" ht="24" customHeight="1">
      <c r="W4655" s="744"/>
    </row>
    <row r="4656" spans="23:23" ht="24" customHeight="1">
      <c r="W4656" s="744"/>
    </row>
    <row r="4657" spans="23:23" ht="24" customHeight="1">
      <c r="W4657" s="744"/>
    </row>
    <row r="4658" spans="23:23" ht="24" customHeight="1">
      <c r="W4658" s="744"/>
    </row>
    <row r="4659" spans="23:23" ht="24" customHeight="1">
      <c r="W4659" s="744"/>
    </row>
    <row r="4660" spans="23:23" ht="24" customHeight="1">
      <c r="W4660" s="744"/>
    </row>
    <row r="4661" spans="23:23" ht="24" customHeight="1">
      <c r="W4661" s="744"/>
    </row>
    <row r="4662" spans="23:23" ht="24" customHeight="1">
      <c r="W4662" s="744"/>
    </row>
    <row r="4663" spans="23:23" ht="24" customHeight="1">
      <c r="W4663" s="744"/>
    </row>
    <row r="4664" spans="23:23" ht="24" customHeight="1">
      <c r="W4664" s="744"/>
    </row>
    <row r="4665" spans="23:23" ht="24" customHeight="1">
      <c r="W4665" s="744"/>
    </row>
    <row r="4666" spans="23:23" ht="24" customHeight="1">
      <c r="W4666" s="744"/>
    </row>
    <row r="4667" spans="23:23" ht="24" customHeight="1">
      <c r="W4667" s="744"/>
    </row>
    <row r="4668" spans="23:23" ht="24" customHeight="1">
      <c r="W4668" s="744"/>
    </row>
    <row r="4669" spans="23:23" ht="24" customHeight="1">
      <c r="W4669" s="744"/>
    </row>
    <row r="4670" spans="23:23" ht="24" customHeight="1">
      <c r="W4670" s="744"/>
    </row>
    <row r="4671" spans="23:23" ht="24" customHeight="1">
      <c r="W4671" s="744"/>
    </row>
    <row r="4672" spans="23:23" ht="24" customHeight="1">
      <c r="W4672" s="744"/>
    </row>
    <row r="4673" spans="23:23" ht="24" customHeight="1">
      <c r="W4673" s="744"/>
    </row>
    <row r="4674" spans="23:23" ht="24" customHeight="1">
      <c r="W4674" s="744"/>
    </row>
    <row r="4675" spans="23:23" ht="24" customHeight="1">
      <c r="W4675" s="744"/>
    </row>
    <row r="4676" spans="23:23" ht="24" customHeight="1">
      <c r="W4676" s="744"/>
    </row>
    <row r="4677" spans="23:23" ht="24" customHeight="1">
      <c r="W4677" s="744"/>
    </row>
    <row r="4678" spans="23:23" ht="24" customHeight="1">
      <c r="W4678" s="744"/>
    </row>
    <row r="4679" spans="23:23" ht="24" customHeight="1">
      <c r="W4679" s="744"/>
    </row>
    <row r="4680" spans="23:23" ht="24" customHeight="1">
      <c r="W4680" s="744"/>
    </row>
    <row r="4681" spans="23:23" ht="24" customHeight="1">
      <c r="W4681" s="744"/>
    </row>
    <row r="4682" spans="23:23" ht="24" customHeight="1">
      <c r="W4682" s="744"/>
    </row>
    <row r="4683" spans="23:23" ht="24" customHeight="1">
      <c r="W4683" s="744"/>
    </row>
    <row r="4684" spans="23:23" ht="24" customHeight="1">
      <c r="W4684" s="744"/>
    </row>
    <row r="4685" spans="23:23" ht="24" customHeight="1">
      <c r="W4685" s="744"/>
    </row>
    <row r="4686" spans="23:23" ht="24" customHeight="1">
      <c r="W4686" s="744"/>
    </row>
    <row r="4687" spans="23:23" ht="24" customHeight="1">
      <c r="W4687" s="744"/>
    </row>
    <row r="4688" spans="23:23" ht="24" customHeight="1">
      <c r="W4688" s="744"/>
    </row>
    <row r="4689" spans="23:23" ht="24" customHeight="1">
      <c r="W4689" s="744"/>
    </row>
    <row r="4690" spans="23:23" ht="24" customHeight="1">
      <c r="W4690" s="744"/>
    </row>
    <row r="4691" spans="23:23" ht="24" customHeight="1">
      <c r="W4691" s="744"/>
    </row>
    <row r="4692" spans="23:23" ht="24" customHeight="1">
      <c r="W4692" s="744"/>
    </row>
    <row r="4693" spans="23:23" ht="24" customHeight="1">
      <c r="W4693" s="744"/>
    </row>
    <row r="4694" spans="23:23" ht="24" customHeight="1">
      <c r="W4694" s="744"/>
    </row>
    <row r="4695" spans="23:23" ht="24" customHeight="1">
      <c r="W4695" s="744"/>
    </row>
    <row r="4696" spans="23:23" ht="24" customHeight="1">
      <c r="W4696" s="744"/>
    </row>
    <row r="4697" spans="23:23" ht="24" customHeight="1">
      <c r="W4697" s="744"/>
    </row>
    <row r="4698" spans="23:23" ht="24" customHeight="1">
      <c r="W4698" s="744"/>
    </row>
    <row r="4699" spans="23:23" ht="24" customHeight="1">
      <c r="W4699" s="744"/>
    </row>
    <row r="4700" spans="23:23" ht="24" customHeight="1">
      <c r="W4700" s="744"/>
    </row>
    <row r="4701" spans="23:23" ht="24" customHeight="1">
      <c r="W4701" s="744"/>
    </row>
    <row r="4702" spans="23:23" ht="24" customHeight="1">
      <c r="W4702" s="744"/>
    </row>
    <row r="4703" spans="23:23" ht="24" customHeight="1">
      <c r="W4703" s="744"/>
    </row>
    <row r="4704" spans="23:23" ht="24" customHeight="1">
      <c r="W4704" s="744"/>
    </row>
    <row r="4705" spans="23:23" ht="24" customHeight="1">
      <c r="W4705" s="744"/>
    </row>
    <row r="4706" spans="23:23" ht="24" customHeight="1">
      <c r="W4706" s="744"/>
    </row>
    <row r="4707" spans="23:23" ht="24" customHeight="1">
      <c r="W4707" s="744"/>
    </row>
    <row r="4708" spans="23:23" ht="24" customHeight="1">
      <c r="W4708" s="744"/>
    </row>
    <row r="4709" spans="23:23" ht="24" customHeight="1">
      <c r="W4709" s="744"/>
    </row>
    <row r="4710" spans="23:23" ht="24" customHeight="1">
      <c r="W4710" s="744"/>
    </row>
    <row r="4711" spans="23:23" ht="24" customHeight="1">
      <c r="W4711" s="744"/>
    </row>
    <row r="4712" spans="23:23" ht="24" customHeight="1">
      <c r="W4712" s="744"/>
    </row>
    <row r="4713" spans="23:23" ht="24" customHeight="1">
      <c r="W4713" s="744"/>
    </row>
    <row r="4714" spans="23:23" ht="24" customHeight="1">
      <c r="W4714" s="744"/>
    </row>
    <row r="4715" spans="23:23" ht="24" customHeight="1">
      <c r="W4715" s="744"/>
    </row>
    <row r="4716" spans="23:23" ht="24" customHeight="1">
      <c r="W4716" s="744"/>
    </row>
    <row r="4717" spans="23:23" ht="24" customHeight="1">
      <c r="W4717" s="744"/>
    </row>
    <row r="4718" spans="23:23" ht="24" customHeight="1">
      <c r="W4718" s="744"/>
    </row>
    <row r="4719" spans="23:23" ht="24" customHeight="1">
      <c r="W4719" s="744"/>
    </row>
    <row r="4720" spans="23:23" ht="24" customHeight="1">
      <c r="W4720" s="744"/>
    </row>
    <row r="4721" spans="23:23" ht="24" customHeight="1">
      <c r="W4721" s="744"/>
    </row>
    <row r="4722" spans="23:23" ht="24" customHeight="1">
      <c r="W4722" s="744"/>
    </row>
    <row r="4723" spans="23:23" ht="24" customHeight="1">
      <c r="W4723" s="744"/>
    </row>
    <row r="4724" spans="23:23" ht="24" customHeight="1">
      <c r="W4724" s="744"/>
    </row>
    <row r="4725" spans="23:23" ht="24" customHeight="1">
      <c r="W4725" s="744"/>
    </row>
    <row r="4726" spans="23:23" ht="24" customHeight="1">
      <c r="W4726" s="744"/>
    </row>
    <row r="4727" spans="23:23" ht="24" customHeight="1">
      <c r="W4727" s="744"/>
    </row>
    <row r="4728" spans="23:23" ht="24" customHeight="1">
      <c r="W4728" s="744"/>
    </row>
    <row r="4729" spans="23:23" ht="24" customHeight="1">
      <c r="W4729" s="744"/>
    </row>
    <row r="4730" spans="23:23" ht="24" customHeight="1">
      <c r="W4730" s="744"/>
    </row>
    <row r="4731" spans="23:23" ht="24" customHeight="1">
      <c r="W4731" s="744"/>
    </row>
    <row r="4732" spans="23:23" ht="24" customHeight="1">
      <c r="W4732" s="744"/>
    </row>
    <row r="4733" spans="23:23" ht="24" customHeight="1">
      <c r="W4733" s="744"/>
    </row>
    <row r="4734" spans="23:23" ht="24" customHeight="1">
      <c r="W4734" s="744"/>
    </row>
    <row r="4735" spans="23:23" ht="24" customHeight="1">
      <c r="W4735" s="744"/>
    </row>
    <row r="4736" spans="23:23" ht="24" customHeight="1">
      <c r="W4736" s="744"/>
    </row>
    <row r="4737" spans="23:23" ht="24" customHeight="1">
      <c r="W4737" s="744"/>
    </row>
    <row r="4738" spans="23:23" ht="24" customHeight="1">
      <c r="W4738" s="744"/>
    </row>
    <row r="4739" spans="23:23" ht="24" customHeight="1">
      <c r="W4739" s="744"/>
    </row>
    <row r="4740" spans="23:23" ht="24" customHeight="1">
      <c r="W4740" s="744"/>
    </row>
    <row r="4741" spans="23:23" ht="24" customHeight="1">
      <c r="W4741" s="744"/>
    </row>
    <row r="4742" spans="23:23" ht="24" customHeight="1">
      <c r="W4742" s="744"/>
    </row>
    <row r="4743" spans="23:23" ht="24" customHeight="1">
      <c r="W4743" s="744"/>
    </row>
    <row r="4744" spans="23:23" ht="24" customHeight="1">
      <c r="W4744" s="744"/>
    </row>
    <row r="4745" spans="23:23" ht="24" customHeight="1">
      <c r="W4745" s="744"/>
    </row>
    <row r="4746" spans="23:23" ht="24" customHeight="1">
      <c r="W4746" s="744"/>
    </row>
    <row r="4747" spans="23:23" ht="24" customHeight="1">
      <c r="W4747" s="744"/>
    </row>
    <row r="4748" spans="23:23" ht="24" customHeight="1">
      <c r="W4748" s="744"/>
    </row>
    <row r="4749" spans="23:23" ht="24" customHeight="1">
      <c r="W4749" s="744"/>
    </row>
    <row r="4750" spans="23:23" ht="24" customHeight="1">
      <c r="W4750" s="744"/>
    </row>
    <row r="4751" spans="23:23" ht="24" customHeight="1">
      <c r="W4751" s="744"/>
    </row>
    <row r="4752" spans="23:23" ht="24" customHeight="1">
      <c r="W4752" s="744"/>
    </row>
    <row r="4753" spans="23:23" ht="24" customHeight="1">
      <c r="W4753" s="744"/>
    </row>
    <row r="4754" spans="23:23" ht="24" customHeight="1">
      <c r="W4754" s="744"/>
    </row>
    <row r="4755" spans="23:23" ht="24" customHeight="1">
      <c r="W4755" s="744"/>
    </row>
    <row r="4756" spans="23:23" ht="24" customHeight="1">
      <c r="W4756" s="744"/>
    </row>
    <row r="4757" spans="23:23" ht="24" customHeight="1">
      <c r="W4757" s="744"/>
    </row>
    <row r="4758" spans="23:23" ht="24" customHeight="1">
      <c r="W4758" s="744"/>
    </row>
    <row r="4759" spans="23:23" ht="24" customHeight="1">
      <c r="W4759" s="744"/>
    </row>
    <row r="4760" spans="23:23" ht="24" customHeight="1">
      <c r="W4760" s="744"/>
    </row>
    <row r="4761" spans="23:23" ht="24" customHeight="1">
      <c r="W4761" s="744"/>
    </row>
    <row r="4762" spans="23:23" ht="24" customHeight="1">
      <c r="W4762" s="744"/>
    </row>
    <row r="4763" spans="23:23" ht="24" customHeight="1">
      <c r="W4763" s="744"/>
    </row>
    <row r="4764" spans="23:23" ht="24" customHeight="1">
      <c r="W4764" s="744"/>
    </row>
    <row r="4765" spans="23:23" ht="24" customHeight="1">
      <c r="W4765" s="744"/>
    </row>
    <row r="4766" spans="23:23" ht="24" customHeight="1">
      <c r="W4766" s="744"/>
    </row>
    <row r="4767" spans="23:23" ht="24" customHeight="1">
      <c r="W4767" s="744"/>
    </row>
    <row r="4768" spans="23:23" ht="24" customHeight="1">
      <c r="W4768" s="744"/>
    </row>
    <row r="4769" spans="23:23" ht="24" customHeight="1">
      <c r="W4769" s="744"/>
    </row>
    <row r="4770" spans="23:23" ht="24" customHeight="1">
      <c r="W4770" s="744"/>
    </row>
    <row r="4771" spans="23:23" ht="24" customHeight="1">
      <c r="W4771" s="744"/>
    </row>
    <row r="4772" spans="23:23" ht="24" customHeight="1">
      <c r="W4772" s="744"/>
    </row>
    <row r="4773" spans="23:23" ht="24" customHeight="1">
      <c r="W4773" s="744"/>
    </row>
    <row r="4774" spans="23:23" ht="24" customHeight="1">
      <c r="W4774" s="744"/>
    </row>
    <row r="4775" spans="23:23" ht="24" customHeight="1">
      <c r="W4775" s="744"/>
    </row>
    <row r="4776" spans="23:23" ht="24" customHeight="1">
      <c r="W4776" s="744"/>
    </row>
    <row r="4777" spans="23:23" ht="24" customHeight="1">
      <c r="W4777" s="744"/>
    </row>
    <row r="4778" spans="23:23" ht="24" customHeight="1">
      <c r="W4778" s="744"/>
    </row>
    <row r="4779" spans="23:23" ht="24" customHeight="1">
      <c r="W4779" s="744"/>
    </row>
    <row r="4780" spans="23:23" ht="24" customHeight="1">
      <c r="W4780" s="744"/>
    </row>
    <row r="4781" spans="23:23" ht="24" customHeight="1">
      <c r="W4781" s="744"/>
    </row>
    <row r="4782" spans="23:23" ht="24" customHeight="1">
      <c r="W4782" s="744"/>
    </row>
    <row r="4783" spans="23:23" ht="24" customHeight="1">
      <c r="W4783" s="744"/>
    </row>
    <row r="4784" spans="23:23" ht="24" customHeight="1">
      <c r="W4784" s="744"/>
    </row>
    <row r="4785" spans="23:23" ht="24" customHeight="1">
      <c r="W4785" s="744"/>
    </row>
    <row r="4786" spans="23:23" ht="24" customHeight="1">
      <c r="W4786" s="744"/>
    </row>
    <row r="4787" spans="23:23" ht="24" customHeight="1">
      <c r="W4787" s="744"/>
    </row>
    <row r="4788" spans="23:23" ht="24" customHeight="1">
      <c r="W4788" s="744"/>
    </row>
    <row r="4789" spans="23:23" ht="24" customHeight="1">
      <c r="W4789" s="744"/>
    </row>
    <row r="4790" spans="23:23" ht="24" customHeight="1">
      <c r="W4790" s="744"/>
    </row>
    <row r="4791" spans="23:23" ht="24" customHeight="1">
      <c r="W4791" s="744"/>
    </row>
    <row r="4792" spans="23:23" ht="24" customHeight="1">
      <c r="W4792" s="744"/>
    </row>
    <row r="4793" spans="23:23" ht="24" customHeight="1">
      <c r="W4793" s="744"/>
    </row>
    <row r="4794" spans="23:23" ht="24" customHeight="1">
      <c r="W4794" s="744"/>
    </row>
    <row r="4795" spans="23:23" ht="24" customHeight="1">
      <c r="W4795" s="744"/>
    </row>
    <row r="4796" spans="23:23" ht="24" customHeight="1">
      <c r="W4796" s="744"/>
    </row>
    <row r="4797" spans="23:23" ht="24" customHeight="1">
      <c r="W4797" s="744"/>
    </row>
    <row r="4798" spans="23:23" ht="24" customHeight="1">
      <c r="W4798" s="744"/>
    </row>
    <row r="4799" spans="23:23" ht="24" customHeight="1">
      <c r="W4799" s="744"/>
    </row>
    <row r="4800" spans="23:23" ht="24" customHeight="1">
      <c r="W4800" s="744"/>
    </row>
    <row r="4801" spans="23:23" ht="24" customHeight="1">
      <c r="W4801" s="744"/>
    </row>
    <row r="4802" spans="23:23" ht="24" customHeight="1">
      <c r="W4802" s="744"/>
    </row>
    <row r="4803" spans="23:23" ht="24" customHeight="1">
      <c r="W4803" s="744"/>
    </row>
    <row r="4804" spans="23:23" ht="24" customHeight="1">
      <c r="W4804" s="744"/>
    </row>
    <row r="4805" spans="23:23" ht="24" customHeight="1">
      <c r="W4805" s="744"/>
    </row>
    <row r="4806" spans="23:23" ht="24" customHeight="1">
      <c r="W4806" s="744"/>
    </row>
    <row r="4807" spans="23:23" ht="24" customHeight="1">
      <c r="W4807" s="744"/>
    </row>
    <row r="4808" spans="23:23" ht="24" customHeight="1">
      <c r="W4808" s="744"/>
    </row>
    <row r="4809" spans="23:23" ht="24" customHeight="1">
      <c r="W4809" s="744"/>
    </row>
    <row r="4810" spans="23:23" ht="24" customHeight="1">
      <c r="W4810" s="744"/>
    </row>
    <row r="4811" spans="23:23" ht="24" customHeight="1">
      <c r="W4811" s="744"/>
    </row>
    <row r="4812" spans="23:23" ht="24" customHeight="1">
      <c r="W4812" s="744"/>
    </row>
    <row r="4813" spans="23:23" ht="24" customHeight="1">
      <c r="W4813" s="744"/>
    </row>
    <row r="4814" spans="23:23" ht="24" customHeight="1">
      <c r="W4814" s="744"/>
    </row>
    <row r="4815" spans="23:23" ht="24" customHeight="1">
      <c r="W4815" s="744"/>
    </row>
    <row r="4816" spans="23:23" ht="24" customHeight="1">
      <c r="W4816" s="744"/>
    </row>
    <row r="4817" spans="23:23" ht="24" customHeight="1">
      <c r="W4817" s="744"/>
    </row>
    <row r="4818" spans="23:23" ht="24" customHeight="1">
      <c r="W4818" s="744"/>
    </row>
    <row r="4819" spans="23:23" ht="24" customHeight="1">
      <c r="W4819" s="744"/>
    </row>
    <row r="4820" spans="23:23" ht="24" customHeight="1">
      <c r="W4820" s="744"/>
    </row>
    <row r="4821" spans="23:23" ht="24" customHeight="1">
      <c r="W4821" s="744"/>
    </row>
    <row r="4822" spans="23:23" ht="24" customHeight="1">
      <c r="W4822" s="744"/>
    </row>
    <row r="4823" spans="23:23" ht="24" customHeight="1">
      <c r="W4823" s="744"/>
    </row>
    <row r="4824" spans="23:23" ht="24" customHeight="1">
      <c r="W4824" s="744"/>
    </row>
    <row r="4825" spans="23:23" ht="24" customHeight="1">
      <c r="W4825" s="744"/>
    </row>
    <row r="4826" spans="23:23" ht="24" customHeight="1">
      <c r="W4826" s="744"/>
    </row>
    <row r="4827" spans="23:23" ht="24" customHeight="1">
      <c r="W4827" s="744"/>
    </row>
    <row r="4828" spans="23:23" ht="24" customHeight="1">
      <c r="W4828" s="744"/>
    </row>
    <row r="4829" spans="23:23" ht="24" customHeight="1">
      <c r="W4829" s="744"/>
    </row>
    <row r="4830" spans="23:23" ht="24" customHeight="1">
      <c r="W4830" s="744"/>
    </row>
    <row r="4831" spans="23:23" ht="24" customHeight="1">
      <c r="W4831" s="744"/>
    </row>
    <row r="4832" spans="23:23" ht="24" customHeight="1">
      <c r="W4832" s="744"/>
    </row>
    <row r="4833" spans="23:23" ht="24" customHeight="1">
      <c r="W4833" s="744"/>
    </row>
    <row r="4834" spans="23:23" ht="24" customHeight="1">
      <c r="W4834" s="744"/>
    </row>
    <row r="4835" spans="23:23" ht="24" customHeight="1">
      <c r="W4835" s="744"/>
    </row>
    <row r="4836" spans="23:23" ht="24" customHeight="1">
      <c r="W4836" s="744"/>
    </row>
    <row r="4837" spans="23:23" ht="24" customHeight="1">
      <c r="W4837" s="744"/>
    </row>
    <row r="4838" spans="23:23" ht="24" customHeight="1">
      <c r="W4838" s="744"/>
    </row>
    <row r="4839" spans="23:23" ht="24" customHeight="1">
      <c r="W4839" s="744"/>
    </row>
    <row r="4840" spans="23:23" ht="24" customHeight="1">
      <c r="W4840" s="744"/>
    </row>
    <row r="4841" spans="23:23" ht="24" customHeight="1">
      <c r="W4841" s="744"/>
    </row>
    <row r="4842" spans="23:23" ht="24" customHeight="1">
      <c r="W4842" s="744"/>
    </row>
    <row r="4843" spans="23:23" ht="24" customHeight="1">
      <c r="W4843" s="744"/>
    </row>
    <row r="4844" spans="23:23" ht="24" customHeight="1">
      <c r="W4844" s="744"/>
    </row>
    <row r="4845" spans="23:23" ht="24" customHeight="1">
      <c r="W4845" s="744"/>
    </row>
    <row r="4846" spans="23:23" ht="24" customHeight="1">
      <c r="W4846" s="744"/>
    </row>
    <row r="4847" spans="23:23" ht="24" customHeight="1">
      <c r="W4847" s="744"/>
    </row>
    <row r="4848" spans="23:23" ht="24" customHeight="1">
      <c r="W4848" s="744"/>
    </row>
    <row r="4849" spans="23:23" ht="24" customHeight="1">
      <c r="W4849" s="744"/>
    </row>
    <row r="4850" spans="23:23" ht="24" customHeight="1">
      <c r="W4850" s="744"/>
    </row>
    <row r="4851" spans="23:23" ht="24" customHeight="1">
      <c r="W4851" s="744"/>
    </row>
    <row r="4852" spans="23:23" ht="24" customHeight="1">
      <c r="W4852" s="744"/>
    </row>
    <row r="4853" spans="23:23" ht="24" customHeight="1">
      <c r="W4853" s="744"/>
    </row>
    <row r="4854" spans="23:23" ht="24" customHeight="1">
      <c r="W4854" s="744"/>
    </row>
    <row r="4855" spans="23:23" ht="24" customHeight="1">
      <c r="W4855" s="744"/>
    </row>
    <row r="4856" spans="23:23" ht="24" customHeight="1">
      <c r="W4856" s="744"/>
    </row>
    <row r="4857" spans="23:23" ht="24" customHeight="1">
      <c r="W4857" s="744"/>
    </row>
    <row r="4858" spans="23:23" ht="24" customHeight="1">
      <c r="W4858" s="744"/>
    </row>
    <row r="4859" spans="23:23" ht="24" customHeight="1">
      <c r="W4859" s="744"/>
    </row>
    <row r="4860" spans="23:23" ht="24" customHeight="1">
      <c r="W4860" s="744"/>
    </row>
    <row r="4861" spans="23:23" ht="24" customHeight="1">
      <c r="W4861" s="744"/>
    </row>
    <row r="4862" spans="23:23" ht="24" customHeight="1">
      <c r="W4862" s="744"/>
    </row>
    <row r="4863" spans="23:23" ht="24" customHeight="1">
      <c r="W4863" s="744"/>
    </row>
    <row r="4864" spans="23:23" ht="24" customHeight="1">
      <c r="W4864" s="744"/>
    </row>
    <row r="4865" spans="23:23" ht="24" customHeight="1">
      <c r="W4865" s="744"/>
    </row>
    <row r="4866" spans="23:23" ht="24" customHeight="1">
      <c r="W4866" s="744"/>
    </row>
    <row r="4867" spans="23:23" ht="24" customHeight="1">
      <c r="W4867" s="744"/>
    </row>
    <row r="4868" spans="23:23" ht="24" customHeight="1">
      <c r="W4868" s="744"/>
    </row>
    <row r="4869" spans="23:23" ht="24" customHeight="1">
      <c r="W4869" s="744"/>
    </row>
    <row r="4870" spans="23:23" ht="24" customHeight="1">
      <c r="W4870" s="744"/>
    </row>
    <row r="4871" spans="23:23" ht="24" customHeight="1">
      <c r="W4871" s="744"/>
    </row>
    <row r="4872" spans="23:23" ht="24" customHeight="1">
      <c r="W4872" s="744"/>
    </row>
    <row r="4873" spans="23:23" ht="24" customHeight="1">
      <c r="W4873" s="744"/>
    </row>
    <row r="4874" spans="23:23" ht="24" customHeight="1">
      <c r="W4874" s="744"/>
    </row>
    <row r="4875" spans="23:23" ht="24" customHeight="1">
      <c r="W4875" s="744"/>
    </row>
    <row r="4876" spans="23:23" ht="24" customHeight="1">
      <c r="W4876" s="744"/>
    </row>
    <row r="4877" spans="23:23" ht="24" customHeight="1">
      <c r="W4877" s="744"/>
    </row>
    <row r="4878" spans="23:23" ht="24" customHeight="1">
      <c r="W4878" s="744"/>
    </row>
    <row r="4879" spans="23:23" ht="24" customHeight="1">
      <c r="W4879" s="744"/>
    </row>
    <row r="4880" spans="23:23" ht="24" customHeight="1">
      <c r="W4880" s="744"/>
    </row>
    <row r="4881" spans="23:23" ht="24" customHeight="1">
      <c r="W4881" s="744"/>
    </row>
    <row r="4882" spans="23:23" ht="24" customHeight="1">
      <c r="W4882" s="744"/>
    </row>
    <row r="4883" spans="23:23" ht="24" customHeight="1">
      <c r="W4883" s="744"/>
    </row>
    <row r="4884" spans="23:23" ht="24" customHeight="1">
      <c r="W4884" s="744"/>
    </row>
    <row r="4885" spans="23:23" ht="24" customHeight="1">
      <c r="W4885" s="744"/>
    </row>
    <row r="4886" spans="23:23" ht="24" customHeight="1">
      <c r="W4886" s="744"/>
    </row>
    <row r="4887" spans="23:23" ht="24" customHeight="1">
      <c r="W4887" s="744"/>
    </row>
    <row r="4888" spans="23:23" ht="24" customHeight="1">
      <c r="W4888" s="744"/>
    </row>
    <row r="4889" spans="23:23" ht="24" customHeight="1">
      <c r="W4889" s="744"/>
    </row>
    <row r="4890" spans="23:23" ht="24" customHeight="1">
      <c r="W4890" s="744"/>
    </row>
    <row r="4891" spans="23:23" ht="24" customHeight="1">
      <c r="W4891" s="744"/>
    </row>
    <row r="4892" spans="23:23" ht="24" customHeight="1">
      <c r="W4892" s="744"/>
    </row>
    <row r="4893" spans="23:23" ht="24" customHeight="1">
      <c r="W4893" s="744"/>
    </row>
    <row r="4894" spans="23:23" ht="24" customHeight="1">
      <c r="W4894" s="744"/>
    </row>
    <row r="4895" spans="23:23" ht="24" customHeight="1">
      <c r="W4895" s="744"/>
    </row>
    <row r="4896" spans="23:23" ht="24" customHeight="1">
      <c r="W4896" s="744"/>
    </row>
    <row r="4897" spans="23:23" ht="24" customHeight="1">
      <c r="W4897" s="744"/>
    </row>
    <row r="4898" spans="23:23" ht="24" customHeight="1">
      <c r="W4898" s="744"/>
    </row>
    <row r="4899" spans="23:23" ht="24" customHeight="1">
      <c r="W4899" s="744"/>
    </row>
    <row r="4900" spans="23:23" ht="24" customHeight="1">
      <c r="W4900" s="744"/>
    </row>
    <row r="4901" spans="23:23" ht="24" customHeight="1">
      <c r="W4901" s="744"/>
    </row>
    <row r="4902" spans="23:23" ht="24" customHeight="1">
      <c r="W4902" s="744"/>
    </row>
    <row r="4903" spans="23:23" ht="24" customHeight="1">
      <c r="W4903" s="744"/>
    </row>
    <row r="4904" spans="23:23" ht="24" customHeight="1">
      <c r="W4904" s="744"/>
    </row>
    <row r="4905" spans="23:23" ht="24" customHeight="1">
      <c r="W4905" s="744"/>
    </row>
    <row r="4906" spans="23:23" ht="24" customHeight="1">
      <c r="W4906" s="744"/>
    </row>
    <row r="4907" spans="23:23" ht="24" customHeight="1">
      <c r="W4907" s="744"/>
    </row>
    <row r="4908" spans="23:23" ht="24" customHeight="1">
      <c r="W4908" s="744"/>
    </row>
    <row r="4909" spans="23:23" ht="24" customHeight="1">
      <c r="W4909" s="744"/>
    </row>
    <row r="4910" spans="23:23" ht="24" customHeight="1">
      <c r="W4910" s="744"/>
    </row>
    <row r="4911" spans="23:23" ht="24" customHeight="1">
      <c r="W4911" s="744"/>
    </row>
    <row r="4912" spans="23:23" ht="24" customHeight="1">
      <c r="W4912" s="744"/>
    </row>
    <row r="4913" spans="23:23" ht="24" customHeight="1">
      <c r="W4913" s="744"/>
    </row>
    <row r="4914" spans="23:23" ht="24" customHeight="1">
      <c r="W4914" s="744"/>
    </row>
    <row r="4915" spans="23:23" ht="24" customHeight="1">
      <c r="W4915" s="744"/>
    </row>
    <row r="4916" spans="23:23" ht="24" customHeight="1">
      <c r="W4916" s="744"/>
    </row>
    <row r="4917" spans="23:23" ht="24" customHeight="1">
      <c r="W4917" s="744"/>
    </row>
    <row r="4918" spans="23:23" ht="24" customHeight="1">
      <c r="W4918" s="744"/>
    </row>
    <row r="4919" spans="23:23" ht="24" customHeight="1">
      <c r="W4919" s="744"/>
    </row>
    <row r="4920" spans="23:23" ht="24" customHeight="1">
      <c r="W4920" s="744"/>
    </row>
    <row r="4921" spans="23:23" ht="24" customHeight="1">
      <c r="W4921" s="744"/>
    </row>
    <row r="4922" spans="23:23" ht="24" customHeight="1">
      <c r="W4922" s="744"/>
    </row>
    <row r="4923" spans="23:23" ht="24" customHeight="1">
      <c r="W4923" s="744"/>
    </row>
    <row r="4924" spans="23:23" ht="24" customHeight="1">
      <c r="W4924" s="744"/>
    </row>
    <row r="4925" spans="23:23" ht="24" customHeight="1">
      <c r="W4925" s="744"/>
    </row>
    <row r="4926" spans="23:23" ht="24" customHeight="1">
      <c r="W4926" s="744"/>
    </row>
    <row r="4927" spans="23:23" ht="24" customHeight="1">
      <c r="W4927" s="744"/>
    </row>
    <row r="4928" spans="23:23" ht="24" customHeight="1">
      <c r="W4928" s="744"/>
    </row>
    <row r="4929" spans="23:23" ht="24" customHeight="1">
      <c r="W4929" s="744"/>
    </row>
    <row r="4930" spans="23:23" ht="24" customHeight="1">
      <c r="W4930" s="744"/>
    </row>
    <row r="4931" spans="23:23" ht="24" customHeight="1">
      <c r="W4931" s="744"/>
    </row>
    <row r="4932" spans="23:23" ht="24" customHeight="1">
      <c r="W4932" s="744"/>
    </row>
    <row r="4933" spans="23:23" ht="24" customHeight="1">
      <c r="W4933" s="744"/>
    </row>
    <row r="4934" spans="23:23" ht="24" customHeight="1">
      <c r="W4934" s="744"/>
    </row>
    <row r="4935" spans="23:23" ht="24" customHeight="1">
      <c r="W4935" s="744"/>
    </row>
    <row r="4936" spans="23:23" ht="24" customHeight="1">
      <c r="W4936" s="744"/>
    </row>
    <row r="4937" spans="23:23" ht="24" customHeight="1">
      <c r="W4937" s="744"/>
    </row>
    <row r="4938" spans="23:23" ht="24" customHeight="1">
      <c r="W4938" s="744"/>
    </row>
    <row r="4939" spans="23:23" ht="24" customHeight="1">
      <c r="W4939" s="744"/>
    </row>
    <row r="4940" spans="23:23" ht="24" customHeight="1">
      <c r="W4940" s="744"/>
    </row>
    <row r="4941" spans="23:23" ht="24" customHeight="1">
      <c r="W4941" s="744"/>
    </row>
    <row r="4942" spans="23:23" ht="24" customHeight="1">
      <c r="W4942" s="744"/>
    </row>
    <row r="4943" spans="23:23" ht="24" customHeight="1">
      <c r="W4943" s="744"/>
    </row>
    <row r="4944" spans="23:23" ht="24" customHeight="1">
      <c r="W4944" s="744"/>
    </row>
    <row r="4945" spans="23:23" ht="24" customHeight="1">
      <c r="W4945" s="744"/>
    </row>
    <row r="4946" spans="23:23" ht="24" customHeight="1">
      <c r="W4946" s="744"/>
    </row>
    <row r="4947" spans="23:23" ht="24" customHeight="1">
      <c r="W4947" s="744"/>
    </row>
    <row r="4948" spans="23:23" ht="24" customHeight="1">
      <c r="W4948" s="744"/>
    </row>
    <row r="4949" spans="23:23" ht="24" customHeight="1">
      <c r="W4949" s="744"/>
    </row>
    <row r="4950" spans="23:23" ht="24" customHeight="1">
      <c r="W4950" s="744"/>
    </row>
    <row r="4951" spans="23:23" ht="24" customHeight="1">
      <c r="W4951" s="744"/>
    </row>
    <row r="4952" spans="23:23" ht="24" customHeight="1">
      <c r="W4952" s="744"/>
    </row>
    <row r="4953" spans="23:23" ht="24" customHeight="1">
      <c r="W4953" s="744"/>
    </row>
    <row r="4954" spans="23:23" ht="24" customHeight="1">
      <c r="W4954" s="744"/>
    </row>
    <row r="4955" spans="23:23" ht="24" customHeight="1">
      <c r="W4955" s="744"/>
    </row>
    <row r="4956" spans="23:23" ht="24" customHeight="1">
      <c r="W4956" s="744"/>
    </row>
    <row r="4957" spans="23:23" ht="24" customHeight="1">
      <c r="W4957" s="744"/>
    </row>
    <row r="4958" spans="23:23" ht="24" customHeight="1">
      <c r="W4958" s="744"/>
    </row>
    <row r="4959" spans="23:23" ht="24" customHeight="1">
      <c r="W4959" s="744"/>
    </row>
    <row r="4960" spans="23:23" ht="24" customHeight="1">
      <c r="W4960" s="744"/>
    </row>
    <row r="4961" spans="23:23" ht="24" customHeight="1">
      <c r="W4961" s="744"/>
    </row>
    <row r="4962" spans="23:23" ht="24" customHeight="1">
      <c r="W4962" s="744"/>
    </row>
    <row r="4963" spans="23:23" ht="24" customHeight="1">
      <c r="W4963" s="744"/>
    </row>
    <row r="4964" spans="23:23" ht="24" customHeight="1">
      <c r="W4964" s="744"/>
    </row>
    <row r="4965" spans="23:23" ht="24" customHeight="1">
      <c r="W4965" s="744"/>
    </row>
    <row r="4966" spans="23:23" ht="24" customHeight="1">
      <c r="W4966" s="744"/>
    </row>
    <row r="4967" spans="23:23" ht="24" customHeight="1">
      <c r="W4967" s="744"/>
    </row>
    <row r="4968" spans="23:23" ht="24" customHeight="1">
      <c r="W4968" s="744"/>
    </row>
    <row r="4969" spans="23:23" ht="24" customHeight="1">
      <c r="W4969" s="744"/>
    </row>
    <row r="4970" spans="23:23" ht="24" customHeight="1">
      <c r="W4970" s="744"/>
    </row>
    <row r="4971" spans="23:23" ht="24" customHeight="1">
      <c r="W4971" s="744"/>
    </row>
    <row r="4972" spans="23:23" ht="24" customHeight="1">
      <c r="W4972" s="744"/>
    </row>
    <row r="4973" spans="23:23" ht="24" customHeight="1">
      <c r="W4973" s="744"/>
    </row>
    <row r="4974" spans="23:23" ht="24" customHeight="1">
      <c r="W4974" s="744"/>
    </row>
    <row r="4975" spans="23:23" ht="24" customHeight="1">
      <c r="W4975" s="744"/>
    </row>
    <row r="4976" spans="23:23" ht="24" customHeight="1">
      <c r="W4976" s="744"/>
    </row>
    <row r="4977" spans="23:23" ht="24" customHeight="1">
      <c r="W4977" s="744"/>
    </row>
    <row r="4978" spans="23:23" ht="24" customHeight="1">
      <c r="W4978" s="744"/>
    </row>
    <row r="4979" spans="23:23" ht="24" customHeight="1">
      <c r="W4979" s="744"/>
    </row>
    <row r="4980" spans="23:23" ht="24" customHeight="1">
      <c r="W4980" s="744"/>
    </row>
    <row r="4981" spans="23:23" ht="24" customHeight="1">
      <c r="W4981" s="744"/>
    </row>
    <row r="4982" spans="23:23" ht="24" customHeight="1">
      <c r="W4982" s="744"/>
    </row>
    <row r="4983" spans="23:23" ht="24" customHeight="1">
      <c r="W4983" s="744"/>
    </row>
    <row r="4984" spans="23:23" ht="24" customHeight="1">
      <c r="W4984" s="744"/>
    </row>
    <row r="4985" spans="23:23" ht="24" customHeight="1">
      <c r="W4985" s="744"/>
    </row>
    <row r="4986" spans="23:23" ht="24" customHeight="1">
      <c r="W4986" s="744"/>
    </row>
    <row r="4987" spans="23:23" ht="24" customHeight="1">
      <c r="W4987" s="744"/>
    </row>
    <row r="4988" spans="23:23" ht="24" customHeight="1">
      <c r="W4988" s="744"/>
    </row>
    <row r="4989" spans="23:23" ht="24" customHeight="1">
      <c r="W4989" s="744"/>
    </row>
    <row r="4990" spans="23:23" ht="24" customHeight="1">
      <c r="W4990" s="744"/>
    </row>
    <row r="4991" spans="23:23" ht="24" customHeight="1">
      <c r="W4991" s="744"/>
    </row>
    <row r="4992" spans="23:23" ht="24" customHeight="1">
      <c r="W4992" s="744"/>
    </row>
    <row r="4993" spans="23:23" ht="24" customHeight="1">
      <c r="W4993" s="744"/>
    </row>
    <row r="4994" spans="23:23" ht="24" customHeight="1">
      <c r="W4994" s="744"/>
    </row>
    <row r="4995" spans="23:23" ht="24" customHeight="1">
      <c r="W4995" s="744"/>
    </row>
    <row r="4996" spans="23:23" ht="24" customHeight="1">
      <c r="W4996" s="744"/>
    </row>
    <row r="4997" spans="23:23" ht="24" customHeight="1">
      <c r="W4997" s="744"/>
    </row>
    <row r="4998" spans="23:23" ht="24" customHeight="1">
      <c r="W4998" s="744"/>
    </row>
    <row r="4999" spans="23:23" ht="24" customHeight="1">
      <c r="W4999" s="744"/>
    </row>
    <row r="5000" spans="23:23" ht="24" customHeight="1">
      <c r="W5000" s="744"/>
    </row>
    <row r="5001" spans="23:23" ht="24" customHeight="1">
      <c r="W5001" s="744"/>
    </row>
    <row r="5002" spans="23:23" ht="24" customHeight="1">
      <c r="W5002" s="744"/>
    </row>
    <row r="5003" spans="23:23" ht="24" customHeight="1">
      <c r="W5003" s="744"/>
    </row>
    <row r="5004" spans="23:23" ht="24" customHeight="1">
      <c r="W5004" s="744"/>
    </row>
    <row r="5005" spans="23:23" ht="24" customHeight="1">
      <c r="W5005" s="744"/>
    </row>
    <row r="5006" spans="23:23" ht="24" customHeight="1">
      <c r="W5006" s="744"/>
    </row>
    <row r="5007" spans="23:23" ht="24" customHeight="1">
      <c r="W5007" s="744"/>
    </row>
    <row r="5008" spans="23:23" ht="24" customHeight="1">
      <c r="W5008" s="744"/>
    </row>
    <row r="5009" spans="23:23" ht="24" customHeight="1">
      <c r="W5009" s="744"/>
    </row>
    <row r="5010" spans="23:23" ht="24" customHeight="1">
      <c r="W5010" s="744"/>
    </row>
    <row r="5011" spans="23:23" ht="24" customHeight="1">
      <c r="W5011" s="744"/>
    </row>
    <row r="5012" spans="23:23" ht="24" customHeight="1">
      <c r="W5012" s="744"/>
    </row>
    <row r="5013" spans="23:23" ht="24" customHeight="1">
      <c r="W5013" s="744"/>
    </row>
    <row r="5014" spans="23:23" ht="24" customHeight="1">
      <c r="W5014" s="744"/>
    </row>
    <row r="5015" spans="23:23" ht="24" customHeight="1">
      <c r="W5015" s="744"/>
    </row>
    <row r="5016" spans="23:23" ht="24" customHeight="1">
      <c r="W5016" s="744"/>
    </row>
    <row r="5017" spans="23:23" ht="24" customHeight="1">
      <c r="W5017" s="744"/>
    </row>
    <row r="5018" spans="23:23" ht="24" customHeight="1">
      <c r="W5018" s="744"/>
    </row>
    <row r="5019" spans="23:23" ht="24" customHeight="1">
      <c r="W5019" s="744"/>
    </row>
    <row r="5020" spans="23:23" ht="24" customHeight="1">
      <c r="W5020" s="744"/>
    </row>
    <row r="5021" spans="23:23" ht="24" customHeight="1">
      <c r="W5021" s="744"/>
    </row>
    <row r="5022" spans="23:23" ht="24" customHeight="1">
      <c r="W5022" s="744"/>
    </row>
    <row r="5023" spans="23:23" ht="24" customHeight="1">
      <c r="W5023" s="744"/>
    </row>
    <row r="5024" spans="23:23" ht="24" customHeight="1">
      <c r="W5024" s="744"/>
    </row>
    <row r="5025" spans="23:23" ht="24" customHeight="1">
      <c r="W5025" s="744"/>
    </row>
    <row r="5026" spans="23:23" ht="24" customHeight="1">
      <c r="W5026" s="744"/>
    </row>
    <row r="5027" spans="23:23" ht="24" customHeight="1">
      <c r="W5027" s="744"/>
    </row>
    <row r="5028" spans="23:23" ht="24" customHeight="1">
      <c r="W5028" s="744"/>
    </row>
    <row r="5029" spans="23:23" ht="24" customHeight="1">
      <c r="W5029" s="744"/>
    </row>
    <row r="5030" spans="23:23" ht="24" customHeight="1">
      <c r="W5030" s="744"/>
    </row>
    <row r="5031" spans="23:23" ht="24" customHeight="1">
      <c r="W5031" s="744"/>
    </row>
    <row r="5032" spans="23:23" ht="24" customHeight="1">
      <c r="W5032" s="744"/>
    </row>
    <row r="5033" spans="23:23" ht="24" customHeight="1">
      <c r="W5033" s="744"/>
    </row>
    <row r="5034" spans="23:23" ht="24" customHeight="1">
      <c r="W5034" s="744"/>
    </row>
    <row r="5035" spans="23:23" ht="24" customHeight="1">
      <c r="W5035" s="744"/>
    </row>
    <row r="5036" spans="23:23" ht="24" customHeight="1">
      <c r="W5036" s="744"/>
    </row>
    <row r="5037" spans="23:23" ht="24" customHeight="1">
      <c r="W5037" s="744"/>
    </row>
    <row r="5038" spans="23:23" ht="24" customHeight="1">
      <c r="W5038" s="744"/>
    </row>
    <row r="5039" spans="23:23" ht="24" customHeight="1">
      <c r="W5039" s="744"/>
    </row>
    <row r="5040" spans="23:23" ht="24" customHeight="1">
      <c r="W5040" s="744"/>
    </row>
    <row r="5041" spans="23:23" ht="24" customHeight="1">
      <c r="W5041" s="744"/>
    </row>
    <row r="5042" spans="23:23" ht="24" customHeight="1">
      <c r="W5042" s="744"/>
    </row>
    <row r="5043" spans="23:23" ht="24" customHeight="1">
      <c r="W5043" s="744"/>
    </row>
    <row r="5044" spans="23:23" ht="24" customHeight="1">
      <c r="W5044" s="744"/>
    </row>
    <row r="5045" spans="23:23" ht="24" customHeight="1">
      <c r="W5045" s="744"/>
    </row>
    <row r="5046" spans="23:23" ht="24" customHeight="1">
      <c r="W5046" s="744"/>
    </row>
    <row r="5047" spans="23:23" ht="24" customHeight="1">
      <c r="W5047" s="744"/>
    </row>
    <row r="5048" spans="23:23" ht="24" customHeight="1">
      <c r="W5048" s="744"/>
    </row>
    <row r="5049" spans="23:23" ht="24" customHeight="1">
      <c r="W5049" s="744"/>
    </row>
    <row r="5050" spans="23:23" ht="24" customHeight="1">
      <c r="W5050" s="744"/>
    </row>
    <row r="5051" spans="23:23" ht="24" customHeight="1">
      <c r="W5051" s="744"/>
    </row>
    <row r="5052" spans="23:23" ht="24" customHeight="1">
      <c r="W5052" s="744"/>
    </row>
    <row r="5053" spans="23:23" ht="24" customHeight="1">
      <c r="W5053" s="744"/>
    </row>
    <row r="5054" spans="23:23" ht="24" customHeight="1">
      <c r="W5054" s="744"/>
    </row>
    <row r="5055" spans="23:23" ht="24" customHeight="1">
      <c r="W5055" s="744"/>
    </row>
    <row r="5056" spans="23:23" ht="24" customHeight="1">
      <c r="W5056" s="744"/>
    </row>
    <row r="5057" spans="23:23" ht="24" customHeight="1">
      <c r="W5057" s="744"/>
    </row>
    <row r="5058" spans="23:23" ht="24" customHeight="1">
      <c r="W5058" s="744"/>
    </row>
    <row r="5059" spans="23:23" ht="24" customHeight="1">
      <c r="W5059" s="744"/>
    </row>
    <row r="5060" spans="23:23" ht="24" customHeight="1">
      <c r="W5060" s="744"/>
    </row>
    <row r="5061" spans="23:23" ht="24" customHeight="1">
      <c r="W5061" s="744"/>
    </row>
    <row r="5062" spans="23:23" ht="24" customHeight="1">
      <c r="W5062" s="744"/>
    </row>
    <row r="5063" spans="23:23" ht="24" customHeight="1">
      <c r="W5063" s="744"/>
    </row>
    <row r="5064" spans="23:23" ht="24" customHeight="1">
      <c r="W5064" s="744"/>
    </row>
    <row r="5065" spans="23:23" ht="24" customHeight="1">
      <c r="W5065" s="744"/>
    </row>
    <row r="5066" spans="23:23" ht="24" customHeight="1">
      <c r="W5066" s="744"/>
    </row>
    <row r="5067" spans="23:23" ht="24" customHeight="1">
      <c r="W5067" s="744"/>
    </row>
    <row r="5068" spans="23:23" ht="24" customHeight="1">
      <c r="W5068" s="744"/>
    </row>
    <row r="5069" spans="23:23" ht="24" customHeight="1">
      <c r="W5069" s="744"/>
    </row>
    <row r="5070" spans="23:23" ht="24" customHeight="1">
      <c r="W5070" s="744"/>
    </row>
    <row r="5071" spans="23:23" ht="24" customHeight="1">
      <c r="W5071" s="744"/>
    </row>
    <row r="5072" spans="23:23" ht="24" customHeight="1">
      <c r="W5072" s="744"/>
    </row>
    <row r="5073" spans="23:23" ht="24" customHeight="1">
      <c r="W5073" s="744"/>
    </row>
    <row r="5074" spans="23:23" ht="24" customHeight="1">
      <c r="W5074" s="744"/>
    </row>
    <row r="5075" spans="23:23" ht="24" customHeight="1">
      <c r="W5075" s="744"/>
    </row>
    <row r="5076" spans="23:23" ht="24" customHeight="1">
      <c r="W5076" s="744"/>
    </row>
    <row r="5077" spans="23:23" ht="24" customHeight="1">
      <c r="W5077" s="744"/>
    </row>
    <row r="5078" spans="23:23" ht="24" customHeight="1">
      <c r="W5078" s="744"/>
    </row>
    <row r="5079" spans="23:23" ht="24" customHeight="1">
      <c r="W5079" s="744"/>
    </row>
    <row r="5080" spans="23:23" ht="24" customHeight="1">
      <c r="W5080" s="744"/>
    </row>
    <row r="5081" spans="23:23" ht="24" customHeight="1">
      <c r="W5081" s="744"/>
    </row>
    <row r="5082" spans="23:23" ht="24" customHeight="1">
      <c r="W5082" s="744"/>
    </row>
    <row r="5083" spans="23:23" ht="24" customHeight="1">
      <c r="W5083" s="744"/>
    </row>
    <row r="5084" spans="23:23" ht="24" customHeight="1">
      <c r="W5084" s="744"/>
    </row>
    <row r="5085" spans="23:23" ht="24" customHeight="1">
      <c r="W5085" s="744"/>
    </row>
    <row r="5086" spans="23:23" ht="24" customHeight="1">
      <c r="W5086" s="744"/>
    </row>
    <row r="5087" spans="23:23" ht="24" customHeight="1">
      <c r="W5087" s="744"/>
    </row>
    <row r="5088" spans="23:23" ht="24" customHeight="1">
      <c r="W5088" s="744"/>
    </row>
    <row r="5089" spans="23:23" ht="24" customHeight="1">
      <c r="W5089" s="744"/>
    </row>
    <row r="5090" spans="23:23" ht="24" customHeight="1">
      <c r="W5090" s="744"/>
    </row>
    <row r="5091" spans="23:23" ht="24" customHeight="1">
      <c r="W5091" s="744"/>
    </row>
    <row r="5092" spans="23:23" ht="24" customHeight="1">
      <c r="W5092" s="744"/>
    </row>
    <row r="5093" spans="23:23" ht="24" customHeight="1">
      <c r="W5093" s="744"/>
    </row>
    <row r="5094" spans="23:23" ht="24" customHeight="1">
      <c r="W5094" s="744"/>
    </row>
    <row r="5095" spans="23:23" ht="24" customHeight="1">
      <c r="W5095" s="744"/>
    </row>
    <row r="5096" spans="23:23" ht="24" customHeight="1">
      <c r="W5096" s="744"/>
    </row>
    <row r="5097" spans="23:23" ht="24" customHeight="1">
      <c r="W5097" s="744"/>
    </row>
    <row r="5098" spans="23:23" ht="24" customHeight="1">
      <c r="W5098" s="744"/>
    </row>
    <row r="5099" spans="23:23" ht="24" customHeight="1">
      <c r="W5099" s="744"/>
    </row>
    <row r="5100" spans="23:23" ht="24" customHeight="1">
      <c r="W5100" s="744"/>
    </row>
    <row r="5101" spans="23:23" ht="24" customHeight="1">
      <c r="W5101" s="744"/>
    </row>
    <row r="5102" spans="23:23" ht="24" customHeight="1">
      <c r="W5102" s="744"/>
    </row>
    <row r="5103" spans="23:23" ht="24" customHeight="1">
      <c r="W5103" s="744"/>
    </row>
    <row r="5104" spans="23:23" ht="24" customHeight="1">
      <c r="W5104" s="744"/>
    </row>
    <row r="5105" spans="23:23" ht="24" customHeight="1">
      <c r="W5105" s="744"/>
    </row>
    <row r="5106" spans="23:23" ht="24" customHeight="1">
      <c r="W5106" s="744"/>
    </row>
    <row r="5107" spans="23:23" ht="24" customHeight="1">
      <c r="W5107" s="744"/>
    </row>
    <row r="5108" spans="23:23" ht="24" customHeight="1">
      <c r="W5108" s="744"/>
    </row>
    <row r="5109" spans="23:23" ht="24" customHeight="1">
      <c r="W5109" s="744"/>
    </row>
    <row r="5110" spans="23:23" ht="24" customHeight="1">
      <c r="W5110" s="744"/>
    </row>
    <row r="5111" spans="23:23" ht="24" customHeight="1">
      <c r="W5111" s="744"/>
    </row>
    <row r="5112" spans="23:23" ht="24" customHeight="1">
      <c r="W5112" s="744"/>
    </row>
    <row r="5113" spans="23:23" ht="24" customHeight="1">
      <c r="W5113" s="744"/>
    </row>
    <row r="5114" spans="23:23" ht="24" customHeight="1">
      <c r="W5114" s="744"/>
    </row>
    <row r="5115" spans="23:23" ht="24" customHeight="1">
      <c r="W5115" s="744"/>
    </row>
    <row r="5116" spans="23:23" ht="24" customHeight="1">
      <c r="W5116" s="744"/>
    </row>
    <row r="5117" spans="23:23" ht="24" customHeight="1">
      <c r="W5117" s="744"/>
    </row>
    <row r="5118" spans="23:23" ht="24" customHeight="1">
      <c r="W5118" s="744"/>
    </row>
    <row r="5119" spans="23:23" ht="24" customHeight="1">
      <c r="W5119" s="744"/>
    </row>
    <row r="5120" spans="23:23" ht="24" customHeight="1">
      <c r="W5120" s="744"/>
    </row>
    <row r="5121" spans="23:23" ht="24" customHeight="1">
      <c r="W5121" s="744"/>
    </row>
    <row r="5122" spans="23:23" ht="24" customHeight="1">
      <c r="W5122" s="744"/>
    </row>
    <row r="5123" spans="23:23" ht="24" customHeight="1">
      <c r="W5123" s="744"/>
    </row>
    <row r="5124" spans="23:23" ht="24" customHeight="1">
      <c r="W5124" s="744"/>
    </row>
    <row r="5125" spans="23:23" ht="24" customHeight="1">
      <c r="W5125" s="744"/>
    </row>
    <row r="5126" spans="23:23" ht="24" customHeight="1">
      <c r="W5126" s="744"/>
    </row>
    <row r="5127" spans="23:23" ht="24" customHeight="1">
      <c r="W5127" s="744"/>
    </row>
    <row r="5128" spans="23:23" ht="24" customHeight="1">
      <c r="W5128" s="744"/>
    </row>
    <row r="5129" spans="23:23" ht="24" customHeight="1">
      <c r="W5129" s="744"/>
    </row>
    <row r="5130" spans="23:23" ht="24" customHeight="1">
      <c r="W5130" s="744"/>
    </row>
    <row r="5131" spans="23:23" ht="24" customHeight="1">
      <c r="W5131" s="744"/>
    </row>
    <row r="5132" spans="23:23" ht="24" customHeight="1">
      <c r="W5132" s="744"/>
    </row>
    <row r="5133" spans="23:23" ht="24" customHeight="1">
      <c r="W5133" s="744"/>
    </row>
    <row r="5134" spans="23:23" ht="24" customHeight="1">
      <c r="W5134" s="744"/>
    </row>
    <row r="5135" spans="23:23" ht="24" customHeight="1">
      <c r="W5135" s="744"/>
    </row>
    <row r="5136" spans="23:23" ht="24" customHeight="1">
      <c r="W5136" s="744"/>
    </row>
    <row r="5137" spans="23:23" ht="24" customHeight="1">
      <c r="W5137" s="744"/>
    </row>
    <row r="5138" spans="23:23" ht="24" customHeight="1">
      <c r="W5138" s="744"/>
    </row>
    <row r="5139" spans="23:23" ht="24" customHeight="1">
      <c r="W5139" s="744"/>
    </row>
    <row r="5140" spans="23:23" ht="24" customHeight="1">
      <c r="W5140" s="744"/>
    </row>
    <row r="5141" spans="23:23" ht="24" customHeight="1">
      <c r="W5141" s="744"/>
    </row>
    <row r="5142" spans="23:23" ht="24" customHeight="1">
      <c r="W5142" s="744"/>
    </row>
    <row r="5143" spans="23:23" ht="24" customHeight="1">
      <c r="W5143" s="744"/>
    </row>
    <row r="5144" spans="23:23" ht="24" customHeight="1">
      <c r="W5144" s="744"/>
    </row>
    <row r="5145" spans="23:23" ht="24" customHeight="1">
      <c r="W5145" s="744"/>
    </row>
    <row r="5146" spans="23:23" ht="24" customHeight="1">
      <c r="W5146" s="744"/>
    </row>
    <row r="5147" spans="23:23" ht="24" customHeight="1">
      <c r="W5147" s="744"/>
    </row>
    <row r="5148" spans="23:23" ht="24" customHeight="1">
      <c r="W5148" s="744"/>
    </row>
    <row r="5149" spans="23:23" ht="24" customHeight="1">
      <c r="W5149" s="744"/>
    </row>
    <row r="5150" spans="23:23" ht="24" customHeight="1">
      <c r="W5150" s="744"/>
    </row>
    <row r="5151" spans="23:23" ht="24" customHeight="1">
      <c r="W5151" s="744"/>
    </row>
    <row r="5152" spans="23:23" ht="24" customHeight="1">
      <c r="W5152" s="744"/>
    </row>
    <row r="5153" spans="23:23" ht="24" customHeight="1">
      <c r="W5153" s="744"/>
    </row>
    <row r="5154" spans="23:23" ht="24" customHeight="1">
      <c r="W5154" s="744"/>
    </row>
    <row r="5155" spans="23:23" ht="24" customHeight="1">
      <c r="W5155" s="744"/>
    </row>
    <row r="5156" spans="23:23" ht="24" customHeight="1">
      <c r="W5156" s="744"/>
    </row>
    <row r="5157" spans="23:23" ht="24" customHeight="1">
      <c r="W5157" s="744"/>
    </row>
    <row r="5158" spans="23:23" ht="24" customHeight="1">
      <c r="W5158" s="744"/>
    </row>
    <row r="5159" spans="23:23" ht="24" customHeight="1">
      <c r="W5159" s="744"/>
    </row>
    <row r="5160" spans="23:23" ht="24" customHeight="1">
      <c r="W5160" s="744"/>
    </row>
    <row r="5161" spans="23:23" ht="24" customHeight="1">
      <c r="W5161" s="744"/>
    </row>
    <row r="5162" spans="23:23" ht="24" customHeight="1">
      <c r="W5162" s="744"/>
    </row>
    <row r="5163" spans="23:23" ht="24" customHeight="1">
      <c r="W5163" s="744"/>
    </row>
    <row r="5164" spans="23:23" ht="24" customHeight="1">
      <c r="W5164" s="744"/>
    </row>
    <row r="5165" spans="23:23" ht="24" customHeight="1">
      <c r="W5165" s="744"/>
    </row>
    <row r="5166" spans="23:23" ht="24" customHeight="1">
      <c r="W5166" s="744"/>
    </row>
    <row r="5167" spans="23:23" ht="24" customHeight="1">
      <c r="W5167" s="744"/>
    </row>
    <row r="5168" spans="23:23" ht="24" customHeight="1">
      <c r="W5168" s="744"/>
    </row>
    <row r="5169" spans="23:23" ht="24" customHeight="1">
      <c r="W5169" s="744"/>
    </row>
    <row r="5170" spans="23:23" ht="24" customHeight="1">
      <c r="W5170" s="744"/>
    </row>
    <row r="5171" spans="23:23" ht="24" customHeight="1">
      <c r="W5171" s="744"/>
    </row>
    <row r="5172" spans="23:23" ht="24" customHeight="1">
      <c r="W5172" s="744"/>
    </row>
    <row r="5173" spans="23:23" ht="24" customHeight="1">
      <c r="W5173" s="744"/>
    </row>
    <row r="5174" spans="23:23" ht="24" customHeight="1">
      <c r="W5174" s="744"/>
    </row>
    <row r="5175" spans="23:23" ht="24" customHeight="1">
      <c r="W5175" s="744"/>
    </row>
    <row r="5176" spans="23:23" ht="24" customHeight="1">
      <c r="W5176" s="744"/>
    </row>
    <row r="5177" spans="23:23" ht="24" customHeight="1">
      <c r="W5177" s="744"/>
    </row>
    <row r="5178" spans="23:23" ht="24" customHeight="1">
      <c r="W5178" s="744"/>
    </row>
    <row r="5179" spans="23:23" ht="24" customHeight="1">
      <c r="W5179" s="744"/>
    </row>
    <row r="5180" spans="23:23" ht="24" customHeight="1">
      <c r="W5180" s="744"/>
    </row>
    <row r="5181" spans="23:23" ht="24" customHeight="1">
      <c r="W5181" s="744"/>
    </row>
    <row r="5182" spans="23:23" ht="24" customHeight="1">
      <c r="W5182" s="744"/>
    </row>
    <row r="5183" spans="23:23" ht="24" customHeight="1">
      <c r="W5183" s="744"/>
    </row>
    <row r="5184" spans="23:23" ht="24" customHeight="1">
      <c r="W5184" s="744"/>
    </row>
    <row r="5185" spans="23:23" ht="24" customHeight="1">
      <c r="W5185" s="744"/>
    </row>
    <row r="5186" spans="23:23" ht="24" customHeight="1">
      <c r="W5186" s="744"/>
    </row>
    <row r="5187" spans="23:23" ht="24" customHeight="1">
      <c r="W5187" s="744"/>
    </row>
    <row r="5188" spans="23:23" ht="24" customHeight="1">
      <c r="W5188" s="744"/>
    </row>
    <row r="5189" spans="23:23" ht="24" customHeight="1">
      <c r="W5189" s="744"/>
    </row>
    <row r="5190" spans="23:23" ht="24" customHeight="1">
      <c r="W5190" s="744"/>
    </row>
    <row r="5191" spans="23:23" ht="24" customHeight="1">
      <c r="W5191" s="744"/>
    </row>
    <row r="5192" spans="23:23" ht="24" customHeight="1">
      <c r="W5192" s="744"/>
    </row>
    <row r="5193" spans="23:23" ht="24" customHeight="1">
      <c r="W5193" s="744"/>
    </row>
    <row r="5194" spans="23:23" ht="24" customHeight="1">
      <c r="W5194" s="744"/>
    </row>
    <row r="5195" spans="23:23" ht="24" customHeight="1">
      <c r="W5195" s="744"/>
    </row>
    <row r="5196" spans="23:23" ht="24" customHeight="1">
      <c r="W5196" s="744"/>
    </row>
    <row r="5197" spans="23:23" ht="24" customHeight="1">
      <c r="W5197" s="744"/>
    </row>
    <row r="5198" spans="23:23" ht="24" customHeight="1">
      <c r="W5198" s="744"/>
    </row>
    <row r="5199" spans="23:23" ht="24" customHeight="1">
      <c r="W5199" s="744"/>
    </row>
    <row r="5200" spans="23:23" ht="24" customHeight="1">
      <c r="W5200" s="744"/>
    </row>
    <row r="5201" spans="23:23" ht="24" customHeight="1">
      <c r="W5201" s="744"/>
    </row>
    <row r="5202" spans="23:23" ht="24" customHeight="1">
      <c r="W5202" s="744"/>
    </row>
    <row r="5203" spans="23:23" ht="24" customHeight="1">
      <c r="W5203" s="744"/>
    </row>
    <row r="5204" spans="23:23" ht="24" customHeight="1">
      <c r="W5204" s="744"/>
    </row>
    <row r="5205" spans="23:23" ht="24" customHeight="1">
      <c r="W5205" s="744"/>
    </row>
    <row r="5206" spans="23:23" ht="24" customHeight="1">
      <c r="W5206" s="744"/>
    </row>
    <row r="5207" spans="23:23" ht="24" customHeight="1">
      <c r="W5207" s="744"/>
    </row>
    <row r="5208" spans="23:23" ht="24" customHeight="1">
      <c r="W5208" s="744"/>
    </row>
    <row r="5209" spans="23:23" ht="24" customHeight="1">
      <c r="W5209" s="744"/>
    </row>
    <row r="5210" spans="23:23" ht="24" customHeight="1">
      <c r="W5210" s="744"/>
    </row>
    <row r="5211" spans="23:23" ht="24" customHeight="1">
      <c r="W5211" s="744"/>
    </row>
    <row r="5212" spans="23:23" ht="24" customHeight="1">
      <c r="W5212" s="744"/>
    </row>
    <row r="5213" spans="23:23" ht="24" customHeight="1">
      <c r="W5213" s="744"/>
    </row>
    <row r="5214" spans="23:23" ht="24" customHeight="1">
      <c r="W5214" s="744"/>
    </row>
    <row r="5215" spans="23:23" ht="24" customHeight="1">
      <c r="W5215" s="744"/>
    </row>
    <row r="5216" spans="23:23" ht="24" customHeight="1">
      <c r="W5216" s="744"/>
    </row>
    <row r="5217" spans="23:23" ht="24" customHeight="1">
      <c r="W5217" s="744"/>
    </row>
    <row r="5218" spans="23:23" ht="24" customHeight="1">
      <c r="W5218" s="744"/>
    </row>
    <row r="5219" spans="23:23" ht="24" customHeight="1">
      <c r="W5219" s="744"/>
    </row>
    <row r="5220" spans="23:23" ht="24" customHeight="1">
      <c r="W5220" s="744"/>
    </row>
    <row r="5221" spans="23:23" ht="24" customHeight="1">
      <c r="W5221" s="744"/>
    </row>
    <row r="5222" spans="23:23" ht="24" customHeight="1">
      <c r="W5222" s="744"/>
    </row>
    <row r="5223" spans="23:23" ht="24" customHeight="1">
      <c r="W5223" s="744"/>
    </row>
    <row r="5224" spans="23:23" ht="24" customHeight="1">
      <c r="W5224" s="744"/>
    </row>
    <row r="5225" spans="23:23" ht="24" customHeight="1">
      <c r="W5225" s="744"/>
    </row>
    <row r="5226" spans="23:23" ht="24" customHeight="1">
      <c r="W5226" s="744"/>
    </row>
    <row r="5227" spans="23:23" ht="24" customHeight="1">
      <c r="W5227" s="744"/>
    </row>
    <row r="5228" spans="23:23" ht="24" customHeight="1">
      <c r="W5228" s="744"/>
    </row>
    <row r="5229" spans="23:23" ht="24" customHeight="1">
      <c r="W5229" s="744"/>
    </row>
    <row r="5230" spans="23:23" ht="24" customHeight="1">
      <c r="W5230" s="744"/>
    </row>
    <row r="5231" spans="23:23" ht="24" customHeight="1">
      <c r="W5231" s="744"/>
    </row>
    <row r="5232" spans="23:23" ht="24" customHeight="1">
      <c r="W5232" s="744"/>
    </row>
    <row r="5233" spans="23:23" ht="24" customHeight="1">
      <c r="W5233" s="744"/>
    </row>
    <row r="5234" spans="23:23" ht="24" customHeight="1">
      <c r="W5234" s="744"/>
    </row>
    <row r="5235" spans="23:23" ht="24" customHeight="1">
      <c r="W5235" s="744"/>
    </row>
    <row r="5236" spans="23:23" ht="24" customHeight="1">
      <c r="W5236" s="744"/>
    </row>
    <row r="5237" spans="23:23" ht="24" customHeight="1">
      <c r="W5237" s="744"/>
    </row>
    <row r="5238" spans="23:23" ht="24" customHeight="1">
      <c r="W5238" s="744"/>
    </row>
    <row r="5239" spans="23:23" ht="24" customHeight="1">
      <c r="W5239" s="744"/>
    </row>
    <row r="5240" spans="23:23" ht="24" customHeight="1">
      <c r="W5240" s="744"/>
    </row>
    <row r="5241" spans="23:23" ht="24" customHeight="1">
      <c r="W5241" s="744"/>
    </row>
    <row r="5242" spans="23:23" ht="24" customHeight="1">
      <c r="W5242" s="744"/>
    </row>
    <row r="5243" spans="23:23" ht="24" customHeight="1">
      <c r="W5243" s="744"/>
    </row>
    <row r="5244" spans="23:23" ht="24" customHeight="1">
      <c r="W5244" s="744"/>
    </row>
    <row r="5245" spans="23:23" ht="24" customHeight="1">
      <c r="W5245" s="744"/>
    </row>
    <row r="5246" spans="23:23" ht="24" customHeight="1">
      <c r="W5246" s="744"/>
    </row>
    <row r="5247" spans="23:23" ht="24" customHeight="1">
      <c r="W5247" s="744"/>
    </row>
    <row r="5248" spans="23:23" ht="24" customHeight="1">
      <c r="W5248" s="744"/>
    </row>
    <row r="5249" spans="23:23" ht="24" customHeight="1">
      <c r="W5249" s="744"/>
    </row>
    <row r="5250" spans="23:23" ht="24" customHeight="1">
      <c r="W5250" s="744"/>
    </row>
    <row r="5251" spans="23:23" ht="24" customHeight="1">
      <c r="W5251" s="744"/>
    </row>
    <row r="5252" spans="23:23" ht="24" customHeight="1">
      <c r="W5252" s="744"/>
    </row>
    <row r="5253" spans="23:23" ht="24" customHeight="1">
      <c r="W5253" s="744"/>
    </row>
    <row r="5254" spans="23:23" ht="24" customHeight="1">
      <c r="W5254" s="744"/>
    </row>
    <row r="5255" spans="23:23" ht="24" customHeight="1">
      <c r="W5255" s="744"/>
    </row>
    <row r="5256" spans="23:23" ht="24" customHeight="1">
      <c r="W5256" s="744"/>
    </row>
    <row r="5257" spans="23:23" ht="24" customHeight="1">
      <c r="W5257" s="744"/>
    </row>
    <row r="5258" spans="23:23" ht="24" customHeight="1">
      <c r="W5258" s="744"/>
    </row>
    <row r="5259" spans="23:23" ht="24" customHeight="1">
      <c r="W5259" s="744"/>
    </row>
    <row r="5260" spans="23:23" ht="24" customHeight="1">
      <c r="W5260" s="744"/>
    </row>
    <row r="5261" spans="23:23" ht="24" customHeight="1">
      <c r="W5261" s="744"/>
    </row>
    <row r="5262" spans="23:23" ht="24" customHeight="1">
      <c r="W5262" s="744"/>
    </row>
    <row r="5263" spans="23:23" ht="24" customHeight="1">
      <c r="W5263" s="744"/>
    </row>
    <row r="5264" spans="23:23" ht="24" customHeight="1">
      <c r="W5264" s="744"/>
    </row>
    <row r="5265" spans="23:23" ht="24" customHeight="1">
      <c r="W5265" s="744"/>
    </row>
    <row r="5266" spans="23:23" ht="24" customHeight="1">
      <c r="W5266" s="744"/>
    </row>
    <row r="5267" spans="23:23" ht="24" customHeight="1">
      <c r="W5267" s="744"/>
    </row>
    <row r="5268" spans="23:23" ht="24" customHeight="1">
      <c r="W5268" s="744"/>
    </row>
    <row r="5269" spans="23:23" ht="24" customHeight="1">
      <c r="W5269" s="744"/>
    </row>
    <row r="5270" spans="23:23" ht="24" customHeight="1">
      <c r="W5270" s="744"/>
    </row>
    <row r="5271" spans="23:23" ht="24" customHeight="1">
      <c r="W5271" s="744"/>
    </row>
    <row r="5272" spans="23:23" ht="24" customHeight="1">
      <c r="W5272" s="744"/>
    </row>
    <row r="5273" spans="23:23" ht="24" customHeight="1">
      <c r="W5273" s="744"/>
    </row>
    <row r="5274" spans="23:23" ht="24" customHeight="1">
      <c r="W5274" s="744"/>
    </row>
    <row r="5275" spans="23:23" ht="24" customHeight="1">
      <c r="W5275" s="744"/>
    </row>
    <row r="5276" spans="23:23" ht="24" customHeight="1">
      <c r="W5276" s="744"/>
    </row>
    <row r="5277" spans="23:23" ht="24" customHeight="1">
      <c r="W5277" s="744"/>
    </row>
    <row r="5278" spans="23:23" ht="24" customHeight="1">
      <c r="W5278" s="744"/>
    </row>
    <row r="5279" spans="23:23" ht="24" customHeight="1">
      <c r="W5279" s="744"/>
    </row>
    <row r="5280" spans="23:23" ht="24" customHeight="1">
      <c r="W5280" s="744"/>
    </row>
    <row r="5281" spans="23:23" ht="24" customHeight="1">
      <c r="W5281" s="744"/>
    </row>
    <row r="5282" spans="23:23" ht="24" customHeight="1">
      <c r="W5282" s="744"/>
    </row>
    <row r="5283" spans="23:23" ht="24" customHeight="1">
      <c r="W5283" s="744"/>
    </row>
    <row r="5284" spans="23:23" ht="24" customHeight="1">
      <c r="W5284" s="744"/>
    </row>
    <row r="5285" spans="23:23" ht="24" customHeight="1">
      <c r="W5285" s="744"/>
    </row>
    <row r="5286" spans="23:23" ht="24" customHeight="1">
      <c r="W5286" s="744"/>
    </row>
    <row r="5287" spans="23:23" ht="24" customHeight="1">
      <c r="W5287" s="744"/>
    </row>
    <row r="5288" spans="23:23" ht="24" customHeight="1">
      <c r="W5288" s="744"/>
    </row>
    <row r="5289" spans="23:23" ht="24" customHeight="1">
      <c r="W5289" s="744"/>
    </row>
    <row r="5290" spans="23:23" ht="24" customHeight="1">
      <c r="W5290" s="744"/>
    </row>
    <row r="5291" spans="23:23" ht="24" customHeight="1">
      <c r="W5291" s="744"/>
    </row>
    <row r="5292" spans="23:23" ht="24" customHeight="1">
      <c r="W5292" s="744"/>
    </row>
    <row r="5293" spans="23:23" ht="24" customHeight="1">
      <c r="W5293" s="744"/>
    </row>
    <row r="5294" spans="23:23" ht="24" customHeight="1">
      <c r="W5294" s="744"/>
    </row>
    <row r="5295" spans="23:23" ht="24" customHeight="1">
      <c r="W5295" s="744"/>
    </row>
    <row r="5296" spans="23:23" ht="24" customHeight="1">
      <c r="W5296" s="744"/>
    </row>
    <row r="5297" spans="23:23" ht="24" customHeight="1">
      <c r="W5297" s="744"/>
    </row>
    <row r="5298" spans="23:23" ht="24" customHeight="1">
      <c r="W5298" s="744"/>
    </row>
    <row r="5299" spans="23:23" ht="24" customHeight="1">
      <c r="W5299" s="744"/>
    </row>
    <row r="5300" spans="23:23" ht="24" customHeight="1">
      <c r="W5300" s="744"/>
    </row>
    <row r="5301" spans="23:23" ht="24" customHeight="1">
      <c r="W5301" s="744"/>
    </row>
    <row r="5302" spans="23:23" ht="24" customHeight="1">
      <c r="W5302" s="744"/>
    </row>
    <row r="5303" spans="23:23" ht="24" customHeight="1">
      <c r="W5303" s="744"/>
    </row>
    <row r="5304" spans="23:23" ht="24" customHeight="1">
      <c r="W5304" s="744"/>
    </row>
    <row r="5305" spans="23:23" ht="24" customHeight="1">
      <c r="W5305" s="744"/>
    </row>
    <row r="5306" spans="23:23" ht="24" customHeight="1">
      <c r="W5306" s="744"/>
    </row>
    <row r="5307" spans="23:23" ht="24" customHeight="1">
      <c r="W5307" s="744"/>
    </row>
    <row r="5308" spans="23:23" ht="24" customHeight="1">
      <c r="W5308" s="744"/>
    </row>
    <row r="5309" spans="23:23" ht="24" customHeight="1">
      <c r="W5309" s="744"/>
    </row>
    <row r="5310" spans="23:23" ht="24" customHeight="1">
      <c r="W5310" s="744"/>
    </row>
    <row r="5311" spans="23:23" ht="24" customHeight="1">
      <c r="W5311" s="744"/>
    </row>
    <row r="5312" spans="23:23" ht="24" customHeight="1">
      <c r="W5312" s="744"/>
    </row>
    <row r="5313" spans="23:23" ht="24" customHeight="1">
      <c r="W5313" s="744"/>
    </row>
    <row r="5314" spans="23:23" ht="24" customHeight="1">
      <c r="W5314" s="744"/>
    </row>
    <row r="5315" spans="23:23" ht="24" customHeight="1">
      <c r="W5315" s="744"/>
    </row>
    <row r="5316" spans="23:23" ht="24" customHeight="1">
      <c r="W5316" s="744"/>
    </row>
    <row r="5317" spans="23:23" ht="24" customHeight="1">
      <c r="W5317" s="744"/>
    </row>
    <row r="5318" spans="23:23" ht="24" customHeight="1">
      <c r="W5318" s="744"/>
    </row>
    <row r="5319" spans="23:23" ht="24" customHeight="1">
      <c r="W5319" s="744"/>
    </row>
    <row r="5320" spans="23:23" ht="24" customHeight="1">
      <c r="W5320" s="744"/>
    </row>
    <row r="5321" spans="23:23" ht="24" customHeight="1">
      <c r="W5321" s="744"/>
    </row>
    <row r="5322" spans="23:23" ht="24" customHeight="1">
      <c r="W5322" s="744"/>
    </row>
    <row r="5323" spans="23:23" ht="24" customHeight="1">
      <c r="W5323" s="744"/>
    </row>
    <row r="5324" spans="23:23" ht="24" customHeight="1">
      <c r="W5324" s="744"/>
    </row>
    <row r="5325" spans="23:23" ht="24" customHeight="1">
      <c r="W5325" s="744"/>
    </row>
    <row r="5326" spans="23:23" ht="24" customHeight="1">
      <c r="W5326" s="744"/>
    </row>
    <row r="5327" spans="23:23" ht="24" customHeight="1">
      <c r="W5327" s="744"/>
    </row>
    <row r="5328" spans="23:23" ht="24" customHeight="1">
      <c r="W5328" s="744"/>
    </row>
    <row r="5329" spans="23:23" ht="24" customHeight="1">
      <c r="W5329" s="744"/>
    </row>
    <row r="5330" spans="23:23" ht="24" customHeight="1">
      <c r="W5330" s="744"/>
    </row>
    <row r="5331" spans="23:23" ht="24" customHeight="1">
      <c r="W5331" s="744"/>
    </row>
    <row r="5332" spans="23:23" ht="24" customHeight="1">
      <c r="W5332" s="744"/>
    </row>
    <row r="5333" spans="23:23" ht="24" customHeight="1">
      <c r="W5333" s="744"/>
    </row>
    <row r="5334" spans="23:23" ht="24" customHeight="1">
      <c r="W5334" s="744"/>
    </row>
    <row r="5335" spans="23:23" ht="24" customHeight="1">
      <c r="W5335" s="744"/>
    </row>
    <row r="5336" spans="23:23" ht="24" customHeight="1">
      <c r="W5336" s="744"/>
    </row>
    <row r="5337" spans="23:23" ht="24" customHeight="1">
      <c r="W5337" s="744"/>
    </row>
    <row r="5338" spans="23:23" ht="24" customHeight="1">
      <c r="W5338" s="744"/>
    </row>
    <row r="5339" spans="23:23" ht="24" customHeight="1">
      <c r="W5339" s="744"/>
    </row>
    <row r="5340" spans="23:23" ht="24" customHeight="1">
      <c r="W5340" s="744"/>
    </row>
    <row r="5341" spans="23:23" ht="24" customHeight="1">
      <c r="W5341" s="744"/>
    </row>
    <row r="5342" spans="23:23" ht="24" customHeight="1">
      <c r="W5342" s="744"/>
    </row>
    <row r="5343" spans="23:23" ht="24" customHeight="1">
      <c r="W5343" s="744"/>
    </row>
    <row r="5344" spans="23:23" ht="24" customHeight="1">
      <c r="W5344" s="744"/>
    </row>
    <row r="5345" spans="23:23" ht="24" customHeight="1">
      <c r="W5345" s="744"/>
    </row>
    <row r="5346" spans="23:23" ht="24" customHeight="1">
      <c r="W5346" s="744"/>
    </row>
    <row r="5347" spans="23:23" ht="24" customHeight="1">
      <c r="W5347" s="744"/>
    </row>
    <row r="5348" spans="23:23" ht="24" customHeight="1">
      <c r="W5348" s="744"/>
    </row>
    <row r="5349" spans="23:23" ht="24" customHeight="1">
      <c r="W5349" s="744"/>
    </row>
    <row r="5350" spans="23:23" ht="24" customHeight="1">
      <c r="W5350" s="744"/>
    </row>
    <row r="5351" spans="23:23" ht="24" customHeight="1">
      <c r="W5351" s="744"/>
    </row>
    <row r="5352" spans="23:23" ht="24" customHeight="1">
      <c r="W5352" s="744"/>
    </row>
    <row r="5353" spans="23:23" ht="24" customHeight="1">
      <c r="W5353" s="744"/>
    </row>
    <row r="5354" spans="23:23" ht="24" customHeight="1">
      <c r="W5354" s="744"/>
    </row>
    <row r="5355" spans="23:23" ht="24" customHeight="1">
      <c r="W5355" s="744"/>
    </row>
    <row r="5356" spans="23:23" ht="24" customHeight="1">
      <c r="W5356" s="744"/>
    </row>
    <row r="5357" spans="23:23" ht="24" customHeight="1">
      <c r="W5357" s="744"/>
    </row>
    <row r="5358" spans="23:23" ht="24" customHeight="1">
      <c r="W5358" s="744"/>
    </row>
    <row r="5359" spans="23:23" ht="24" customHeight="1">
      <c r="W5359" s="744"/>
    </row>
    <row r="5360" spans="23:23" ht="24" customHeight="1">
      <c r="W5360" s="744"/>
    </row>
    <row r="5361" spans="23:23" ht="24" customHeight="1">
      <c r="W5361" s="744"/>
    </row>
    <row r="5362" spans="23:23" ht="24" customHeight="1">
      <c r="W5362" s="744"/>
    </row>
    <row r="5363" spans="23:23" ht="24" customHeight="1">
      <c r="W5363" s="744"/>
    </row>
    <row r="5364" spans="23:23" ht="24" customHeight="1">
      <c r="W5364" s="744"/>
    </row>
    <row r="5365" spans="23:23" ht="24" customHeight="1">
      <c r="W5365" s="744"/>
    </row>
    <row r="5366" spans="23:23" ht="24" customHeight="1">
      <c r="W5366" s="744"/>
    </row>
    <row r="5367" spans="23:23" ht="24" customHeight="1">
      <c r="W5367" s="744"/>
    </row>
    <row r="5368" spans="23:23" ht="24" customHeight="1">
      <c r="W5368" s="744"/>
    </row>
    <row r="5369" spans="23:23" ht="24" customHeight="1">
      <c r="W5369" s="744"/>
    </row>
    <row r="5370" spans="23:23" ht="24" customHeight="1">
      <c r="W5370" s="744"/>
    </row>
    <row r="5371" spans="23:23" ht="24" customHeight="1">
      <c r="W5371" s="744"/>
    </row>
    <row r="5372" spans="23:23" ht="24" customHeight="1">
      <c r="W5372" s="744"/>
    </row>
    <row r="5373" spans="23:23" ht="24" customHeight="1">
      <c r="W5373" s="744"/>
    </row>
    <row r="5374" spans="23:23" ht="24" customHeight="1">
      <c r="W5374" s="744"/>
    </row>
    <row r="5375" spans="23:23" ht="24" customHeight="1">
      <c r="W5375" s="744"/>
    </row>
    <row r="5376" spans="23:23" ht="24" customHeight="1">
      <c r="W5376" s="744"/>
    </row>
    <row r="5377" spans="23:23" ht="24" customHeight="1">
      <c r="W5377" s="744"/>
    </row>
    <row r="5378" spans="23:23" ht="24" customHeight="1">
      <c r="W5378" s="744"/>
    </row>
    <row r="5379" spans="23:23" ht="24" customHeight="1">
      <c r="W5379" s="744"/>
    </row>
    <row r="5380" spans="23:23" ht="24" customHeight="1">
      <c r="W5380" s="744"/>
    </row>
    <row r="5381" spans="23:23" ht="24" customHeight="1">
      <c r="W5381" s="744"/>
    </row>
    <row r="5382" spans="23:23" ht="24" customHeight="1">
      <c r="W5382" s="744"/>
    </row>
    <row r="5383" spans="23:23" ht="24" customHeight="1">
      <c r="W5383" s="744"/>
    </row>
    <row r="5384" spans="23:23" ht="24" customHeight="1">
      <c r="W5384" s="744"/>
    </row>
    <row r="5385" spans="23:23" ht="24" customHeight="1">
      <c r="W5385" s="744"/>
    </row>
    <row r="5386" spans="23:23" ht="24" customHeight="1">
      <c r="W5386" s="744"/>
    </row>
    <row r="5387" spans="23:23" ht="24" customHeight="1">
      <c r="W5387" s="744"/>
    </row>
    <row r="5388" spans="23:23" ht="24" customHeight="1">
      <c r="W5388" s="744"/>
    </row>
    <row r="5389" spans="23:23" ht="24" customHeight="1">
      <c r="W5389" s="744"/>
    </row>
    <row r="5390" spans="23:23" ht="24" customHeight="1">
      <c r="W5390" s="744"/>
    </row>
    <row r="5391" spans="23:23" ht="24" customHeight="1">
      <c r="W5391" s="744"/>
    </row>
    <row r="5392" spans="23:23" ht="24" customHeight="1">
      <c r="W5392" s="744"/>
    </row>
    <row r="5393" spans="23:23" ht="24" customHeight="1">
      <c r="W5393" s="744"/>
    </row>
    <row r="5394" spans="23:23" ht="24" customHeight="1">
      <c r="W5394" s="744"/>
    </row>
    <row r="5395" spans="23:23" ht="24" customHeight="1">
      <c r="W5395" s="744"/>
    </row>
    <row r="5396" spans="23:23" ht="24" customHeight="1">
      <c r="W5396" s="744"/>
    </row>
    <row r="5397" spans="23:23" ht="24" customHeight="1">
      <c r="W5397" s="744"/>
    </row>
    <row r="5398" spans="23:23" ht="24" customHeight="1">
      <c r="W5398" s="744"/>
    </row>
    <row r="5399" spans="23:23" ht="24" customHeight="1">
      <c r="W5399" s="744"/>
    </row>
    <row r="5400" spans="23:23" ht="24" customHeight="1">
      <c r="W5400" s="744"/>
    </row>
    <row r="5401" spans="23:23" ht="24" customHeight="1">
      <c r="W5401" s="744"/>
    </row>
    <row r="5402" spans="23:23" ht="24" customHeight="1">
      <c r="W5402" s="744"/>
    </row>
    <row r="5403" spans="23:23" ht="24" customHeight="1">
      <c r="W5403" s="744"/>
    </row>
    <row r="5404" spans="23:23" ht="24" customHeight="1">
      <c r="W5404" s="744"/>
    </row>
    <row r="5405" spans="23:23" ht="24" customHeight="1">
      <c r="W5405" s="744"/>
    </row>
    <row r="5406" spans="23:23" ht="24" customHeight="1">
      <c r="W5406" s="744"/>
    </row>
    <row r="5407" spans="23:23" ht="24" customHeight="1">
      <c r="W5407" s="744"/>
    </row>
    <row r="5408" spans="23:23" ht="24" customHeight="1">
      <c r="W5408" s="744"/>
    </row>
    <row r="5409" spans="23:23" ht="24" customHeight="1">
      <c r="W5409" s="744"/>
    </row>
    <row r="5410" spans="23:23" ht="24" customHeight="1">
      <c r="W5410" s="744"/>
    </row>
    <row r="5411" spans="23:23" ht="24" customHeight="1">
      <c r="W5411" s="744"/>
    </row>
    <row r="5412" spans="23:23" ht="24" customHeight="1">
      <c r="W5412" s="744"/>
    </row>
    <row r="5413" spans="23:23" ht="24" customHeight="1">
      <c r="W5413" s="744"/>
    </row>
    <row r="5414" spans="23:23" ht="24" customHeight="1">
      <c r="W5414" s="744"/>
    </row>
    <row r="5415" spans="23:23" ht="24" customHeight="1">
      <c r="W5415" s="744"/>
    </row>
    <row r="5416" spans="23:23" ht="24" customHeight="1">
      <c r="W5416" s="744"/>
    </row>
    <row r="5417" spans="23:23" ht="24" customHeight="1">
      <c r="W5417" s="744"/>
    </row>
    <row r="5418" spans="23:23" ht="24" customHeight="1">
      <c r="W5418" s="744"/>
    </row>
    <row r="5419" spans="23:23" ht="24" customHeight="1">
      <c r="W5419" s="744"/>
    </row>
    <row r="5420" spans="23:23" ht="24" customHeight="1">
      <c r="W5420" s="744"/>
    </row>
    <row r="5421" spans="23:23" ht="24" customHeight="1">
      <c r="W5421" s="744"/>
    </row>
    <row r="5422" spans="23:23" ht="24" customHeight="1">
      <c r="W5422" s="744"/>
    </row>
    <row r="5423" spans="23:23" ht="24" customHeight="1">
      <c r="W5423" s="744"/>
    </row>
    <row r="5424" spans="23:23" ht="24" customHeight="1">
      <c r="W5424" s="744"/>
    </row>
    <row r="5425" spans="23:23" ht="24" customHeight="1">
      <c r="W5425" s="744"/>
    </row>
    <row r="5426" spans="23:23" ht="24" customHeight="1">
      <c r="W5426" s="744"/>
    </row>
    <row r="5427" spans="23:23" ht="24" customHeight="1">
      <c r="W5427" s="744"/>
    </row>
    <row r="5428" spans="23:23" ht="24" customHeight="1">
      <c r="W5428" s="744"/>
    </row>
    <row r="5429" spans="23:23" ht="24" customHeight="1">
      <c r="W5429" s="744"/>
    </row>
    <row r="5430" spans="23:23" ht="24" customHeight="1">
      <c r="W5430" s="744"/>
    </row>
    <row r="5431" spans="23:23" ht="24" customHeight="1">
      <c r="W5431" s="744"/>
    </row>
    <row r="5432" spans="23:23" ht="24" customHeight="1">
      <c r="W5432" s="744"/>
    </row>
    <row r="5433" spans="23:23" ht="24" customHeight="1">
      <c r="W5433" s="744"/>
    </row>
    <row r="5434" spans="23:23" ht="24" customHeight="1">
      <c r="W5434" s="744"/>
    </row>
    <row r="5435" spans="23:23" ht="24" customHeight="1">
      <c r="W5435" s="744"/>
    </row>
    <row r="5436" spans="23:23" ht="24" customHeight="1">
      <c r="W5436" s="744"/>
    </row>
    <row r="5437" spans="23:23" ht="24" customHeight="1">
      <c r="W5437" s="744"/>
    </row>
    <row r="5438" spans="23:23" ht="24" customHeight="1">
      <c r="W5438" s="744"/>
    </row>
    <row r="5439" spans="23:23" ht="24" customHeight="1">
      <c r="W5439" s="744"/>
    </row>
    <row r="5440" spans="23:23" ht="24" customHeight="1">
      <c r="W5440" s="744"/>
    </row>
    <row r="5441" spans="23:23" ht="24" customHeight="1">
      <c r="W5441" s="744"/>
    </row>
    <row r="5442" spans="23:23" ht="24" customHeight="1">
      <c r="W5442" s="744"/>
    </row>
    <row r="5443" spans="23:23" ht="24" customHeight="1">
      <c r="W5443" s="744"/>
    </row>
    <row r="5444" spans="23:23" ht="24" customHeight="1">
      <c r="W5444" s="744"/>
    </row>
    <row r="5445" spans="23:23" ht="24" customHeight="1">
      <c r="W5445" s="744"/>
    </row>
    <row r="5446" spans="23:23" ht="24" customHeight="1">
      <c r="W5446" s="744"/>
    </row>
    <row r="5447" spans="23:23" ht="24" customHeight="1">
      <c r="W5447" s="744"/>
    </row>
    <row r="5448" spans="23:23" ht="24" customHeight="1">
      <c r="W5448" s="744"/>
    </row>
    <row r="5449" spans="23:23" ht="24" customHeight="1">
      <c r="W5449" s="744"/>
    </row>
    <row r="5450" spans="23:23" ht="24" customHeight="1">
      <c r="W5450" s="744"/>
    </row>
    <row r="5451" spans="23:23" ht="24" customHeight="1">
      <c r="W5451" s="744"/>
    </row>
    <row r="5452" spans="23:23" ht="24" customHeight="1">
      <c r="W5452" s="744"/>
    </row>
    <row r="5453" spans="23:23" ht="24" customHeight="1">
      <c r="W5453" s="744"/>
    </row>
    <row r="5454" spans="23:23" ht="24" customHeight="1">
      <c r="W5454" s="744"/>
    </row>
    <row r="5455" spans="23:23" ht="24" customHeight="1">
      <c r="W5455" s="744"/>
    </row>
    <row r="5456" spans="23:23" ht="24" customHeight="1">
      <c r="W5456" s="744"/>
    </row>
    <row r="5457" spans="23:23" ht="24" customHeight="1">
      <c r="W5457" s="744"/>
    </row>
    <row r="5458" spans="23:23" ht="24" customHeight="1">
      <c r="W5458" s="744"/>
    </row>
    <row r="5459" spans="23:23" ht="24" customHeight="1">
      <c r="W5459" s="744"/>
    </row>
    <row r="5460" spans="23:23" ht="24" customHeight="1">
      <c r="W5460" s="744"/>
    </row>
    <row r="5461" spans="23:23" ht="24" customHeight="1">
      <c r="W5461" s="744"/>
    </row>
    <row r="5462" spans="23:23" ht="24" customHeight="1">
      <c r="W5462" s="744"/>
    </row>
    <row r="5463" spans="23:23" ht="24" customHeight="1">
      <c r="W5463" s="744"/>
    </row>
    <row r="5464" spans="23:23" ht="24" customHeight="1">
      <c r="W5464" s="744"/>
    </row>
    <row r="5465" spans="23:23" ht="24" customHeight="1">
      <c r="W5465" s="744"/>
    </row>
    <row r="5466" spans="23:23" ht="24" customHeight="1">
      <c r="W5466" s="744"/>
    </row>
    <row r="5467" spans="23:23" ht="24" customHeight="1">
      <c r="W5467" s="744"/>
    </row>
    <row r="5468" spans="23:23" ht="24" customHeight="1">
      <c r="W5468" s="744"/>
    </row>
    <row r="5469" spans="23:23" ht="24" customHeight="1">
      <c r="W5469" s="744"/>
    </row>
    <row r="5470" spans="23:23" ht="24" customHeight="1">
      <c r="W5470" s="744"/>
    </row>
    <row r="5471" spans="23:23" ht="24" customHeight="1">
      <c r="W5471" s="744"/>
    </row>
    <row r="5472" spans="23:23" ht="24" customHeight="1">
      <c r="W5472" s="744"/>
    </row>
    <row r="5473" spans="23:23" ht="24" customHeight="1">
      <c r="W5473" s="744"/>
    </row>
    <row r="5474" spans="23:23" ht="24" customHeight="1">
      <c r="W5474" s="744"/>
    </row>
    <row r="5475" spans="23:23" ht="24" customHeight="1">
      <c r="W5475" s="744"/>
    </row>
    <row r="5476" spans="23:23" ht="24" customHeight="1">
      <c r="W5476" s="744"/>
    </row>
    <row r="5477" spans="23:23" ht="24" customHeight="1">
      <c r="W5477" s="744"/>
    </row>
    <row r="5478" spans="23:23" ht="24" customHeight="1">
      <c r="W5478" s="744"/>
    </row>
    <row r="5479" spans="23:23" ht="24" customHeight="1">
      <c r="W5479" s="744"/>
    </row>
    <row r="5480" spans="23:23" ht="24" customHeight="1">
      <c r="W5480" s="744"/>
    </row>
    <row r="5481" spans="23:23" ht="24" customHeight="1">
      <c r="W5481" s="744"/>
    </row>
    <row r="5482" spans="23:23" ht="24" customHeight="1">
      <c r="W5482" s="744"/>
    </row>
    <row r="5483" spans="23:23" ht="24" customHeight="1">
      <c r="W5483" s="744"/>
    </row>
    <row r="5484" spans="23:23" ht="24" customHeight="1">
      <c r="W5484" s="744"/>
    </row>
    <row r="5485" spans="23:23" ht="24" customHeight="1">
      <c r="W5485" s="744"/>
    </row>
    <row r="5486" spans="23:23" ht="24" customHeight="1">
      <c r="W5486" s="744"/>
    </row>
    <row r="5487" spans="23:23" ht="24" customHeight="1">
      <c r="W5487" s="744"/>
    </row>
    <row r="5488" spans="23:23" ht="24" customHeight="1">
      <c r="W5488" s="744"/>
    </row>
    <row r="5489" spans="23:23" ht="24" customHeight="1">
      <c r="W5489" s="744"/>
    </row>
    <row r="5490" spans="23:23" ht="24" customHeight="1">
      <c r="W5490" s="744"/>
    </row>
    <row r="5491" spans="23:23" ht="24" customHeight="1">
      <c r="W5491" s="744"/>
    </row>
    <row r="5492" spans="23:23" ht="24" customHeight="1">
      <c r="W5492" s="744"/>
    </row>
    <row r="5493" spans="23:23" ht="24" customHeight="1">
      <c r="W5493" s="744"/>
    </row>
    <row r="5494" spans="23:23" ht="24" customHeight="1">
      <c r="W5494" s="744"/>
    </row>
    <row r="5495" spans="23:23" ht="24" customHeight="1">
      <c r="W5495" s="744"/>
    </row>
    <row r="5496" spans="23:23" ht="24" customHeight="1">
      <c r="W5496" s="744"/>
    </row>
    <row r="5497" spans="23:23" ht="24" customHeight="1">
      <c r="W5497" s="744"/>
    </row>
    <row r="5498" spans="23:23" ht="24" customHeight="1">
      <c r="W5498" s="744"/>
    </row>
    <row r="5499" spans="23:23" ht="24" customHeight="1">
      <c r="W5499" s="744"/>
    </row>
    <row r="5500" spans="23:23" ht="24" customHeight="1">
      <c r="W5500" s="744"/>
    </row>
    <row r="5501" spans="23:23" ht="24" customHeight="1">
      <c r="W5501" s="744"/>
    </row>
    <row r="5502" spans="23:23" ht="24" customHeight="1">
      <c r="W5502" s="744"/>
    </row>
    <row r="5503" spans="23:23" ht="24" customHeight="1">
      <c r="W5503" s="744"/>
    </row>
    <row r="5504" spans="23:23" ht="24" customHeight="1">
      <c r="W5504" s="744"/>
    </row>
    <row r="5505" spans="23:23" ht="24" customHeight="1">
      <c r="W5505" s="744"/>
    </row>
    <row r="5506" spans="23:23" ht="24" customHeight="1">
      <c r="W5506" s="744"/>
    </row>
    <row r="5507" spans="23:23" ht="24" customHeight="1">
      <c r="W5507" s="744"/>
    </row>
    <row r="5508" spans="23:23" ht="24" customHeight="1">
      <c r="W5508" s="744"/>
    </row>
    <row r="5509" spans="23:23" ht="24" customHeight="1">
      <c r="W5509" s="744"/>
    </row>
    <row r="5510" spans="23:23" ht="24" customHeight="1">
      <c r="W5510" s="744"/>
    </row>
    <row r="5511" spans="23:23" ht="24" customHeight="1">
      <c r="W5511" s="744"/>
    </row>
    <row r="5512" spans="23:23" ht="24" customHeight="1">
      <c r="W5512" s="744"/>
    </row>
    <row r="5513" spans="23:23" ht="24" customHeight="1">
      <c r="W5513" s="744"/>
    </row>
    <row r="5514" spans="23:23" ht="24" customHeight="1">
      <c r="W5514" s="744"/>
    </row>
    <row r="5515" spans="23:23" ht="24" customHeight="1">
      <c r="W5515" s="744"/>
    </row>
    <row r="5516" spans="23:23" ht="24" customHeight="1">
      <c r="W5516" s="744"/>
    </row>
    <row r="5517" spans="23:23" ht="24" customHeight="1">
      <c r="W5517" s="744"/>
    </row>
    <row r="5518" spans="23:23" ht="24" customHeight="1">
      <c r="W5518" s="744"/>
    </row>
    <row r="5519" spans="23:23" ht="24" customHeight="1">
      <c r="W5519" s="744"/>
    </row>
    <row r="5520" spans="23:23" ht="24" customHeight="1">
      <c r="W5520" s="744"/>
    </row>
    <row r="5521" spans="23:23" ht="24" customHeight="1">
      <c r="W5521" s="744"/>
    </row>
    <row r="5522" spans="23:23" ht="24" customHeight="1">
      <c r="W5522" s="744"/>
    </row>
    <row r="5523" spans="23:23" ht="24" customHeight="1">
      <c r="W5523" s="744"/>
    </row>
    <row r="5524" spans="23:23" ht="24" customHeight="1">
      <c r="W5524" s="744"/>
    </row>
    <row r="5525" spans="23:23" ht="24" customHeight="1">
      <c r="W5525" s="744"/>
    </row>
    <row r="5526" spans="23:23" ht="24" customHeight="1">
      <c r="W5526" s="744"/>
    </row>
    <row r="5527" spans="23:23" ht="24" customHeight="1">
      <c r="W5527" s="744"/>
    </row>
    <row r="5528" spans="23:23" ht="24" customHeight="1">
      <c r="W5528" s="744"/>
    </row>
    <row r="5529" spans="23:23" ht="24" customHeight="1">
      <c r="W5529" s="744"/>
    </row>
    <row r="5530" spans="23:23" ht="24" customHeight="1">
      <c r="W5530" s="744"/>
    </row>
    <row r="5531" spans="23:23" ht="24" customHeight="1">
      <c r="W5531" s="744"/>
    </row>
    <row r="5532" spans="23:23" ht="24" customHeight="1">
      <c r="W5532" s="744"/>
    </row>
    <row r="5533" spans="23:23" ht="24" customHeight="1">
      <c r="W5533" s="744"/>
    </row>
    <row r="5534" spans="23:23" ht="24" customHeight="1">
      <c r="W5534" s="744"/>
    </row>
    <row r="5535" spans="23:23" ht="24" customHeight="1">
      <c r="W5535" s="744"/>
    </row>
    <row r="5536" spans="23:23" ht="24" customHeight="1">
      <c r="W5536" s="744"/>
    </row>
    <row r="5537" spans="23:23" ht="24" customHeight="1">
      <c r="W5537" s="744"/>
    </row>
    <row r="5538" spans="23:23" ht="24" customHeight="1">
      <c r="W5538" s="744"/>
    </row>
    <row r="5539" spans="23:23" ht="24" customHeight="1">
      <c r="W5539" s="744"/>
    </row>
    <row r="5540" spans="23:23" ht="24" customHeight="1">
      <c r="W5540" s="744"/>
    </row>
    <row r="5541" spans="23:23" ht="24" customHeight="1">
      <c r="W5541" s="744"/>
    </row>
    <row r="5542" spans="23:23" ht="24" customHeight="1">
      <c r="W5542" s="744"/>
    </row>
    <row r="5543" spans="23:23" ht="24" customHeight="1">
      <c r="W5543" s="744"/>
    </row>
    <row r="5544" spans="23:23" ht="24" customHeight="1">
      <c r="W5544" s="744"/>
    </row>
    <row r="5545" spans="23:23" ht="24" customHeight="1">
      <c r="W5545" s="744"/>
    </row>
    <row r="5546" spans="23:23" ht="24" customHeight="1">
      <c r="W5546" s="744"/>
    </row>
    <row r="5547" spans="23:23" ht="24" customHeight="1">
      <c r="W5547" s="744"/>
    </row>
    <row r="5548" spans="23:23" ht="24" customHeight="1">
      <c r="W5548" s="744"/>
    </row>
    <row r="5549" spans="23:23" ht="24" customHeight="1">
      <c r="W5549" s="744"/>
    </row>
    <row r="5550" spans="23:23" ht="24" customHeight="1">
      <c r="W5550" s="744"/>
    </row>
    <row r="5551" spans="23:23" ht="24" customHeight="1">
      <c r="W5551" s="744"/>
    </row>
    <row r="5552" spans="23:23" ht="24" customHeight="1">
      <c r="W5552" s="744"/>
    </row>
    <row r="5553" spans="23:23" ht="24" customHeight="1">
      <c r="W5553" s="744"/>
    </row>
    <row r="5554" spans="23:23" ht="24" customHeight="1">
      <c r="W5554" s="744"/>
    </row>
    <row r="5555" spans="23:23" ht="24" customHeight="1">
      <c r="W5555" s="744"/>
    </row>
    <row r="5556" spans="23:23" ht="24" customHeight="1">
      <c r="W5556" s="744"/>
    </row>
    <row r="5557" spans="23:23" ht="24" customHeight="1">
      <c r="W5557" s="744"/>
    </row>
    <row r="5558" spans="23:23" ht="24" customHeight="1">
      <c r="W5558" s="744"/>
    </row>
    <row r="5559" spans="23:23" ht="24" customHeight="1">
      <c r="W5559" s="744"/>
    </row>
    <row r="5560" spans="23:23" ht="24" customHeight="1">
      <c r="W5560" s="744"/>
    </row>
    <row r="5561" spans="23:23" ht="24" customHeight="1">
      <c r="W5561" s="744"/>
    </row>
    <row r="5562" spans="23:23" ht="24" customHeight="1">
      <c r="W5562" s="744"/>
    </row>
    <row r="5563" spans="23:23" ht="24" customHeight="1">
      <c r="W5563" s="744"/>
    </row>
    <row r="5564" spans="23:23" ht="24" customHeight="1">
      <c r="W5564" s="744"/>
    </row>
    <row r="5565" spans="23:23" ht="24" customHeight="1">
      <c r="W5565" s="744"/>
    </row>
    <row r="5566" spans="23:23" ht="24" customHeight="1">
      <c r="W5566" s="744"/>
    </row>
    <row r="5567" spans="23:23" ht="24" customHeight="1">
      <c r="W5567" s="744"/>
    </row>
    <row r="5568" spans="23:23" ht="24" customHeight="1">
      <c r="W5568" s="744"/>
    </row>
    <row r="5569" spans="23:23" ht="24" customHeight="1">
      <c r="W5569" s="744"/>
    </row>
    <row r="5570" spans="23:23" ht="24" customHeight="1">
      <c r="W5570" s="744"/>
    </row>
    <row r="5571" spans="23:23" ht="24" customHeight="1">
      <c r="W5571" s="744"/>
    </row>
    <row r="5572" spans="23:23" ht="24" customHeight="1">
      <c r="W5572" s="744"/>
    </row>
    <row r="5573" spans="23:23" ht="24" customHeight="1">
      <c r="W5573" s="744"/>
    </row>
    <row r="5574" spans="23:23" ht="24" customHeight="1">
      <c r="W5574" s="744"/>
    </row>
    <row r="5575" spans="23:23" ht="24" customHeight="1">
      <c r="W5575" s="744"/>
    </row>
    <row r="5576" spans="23:23" ht="24" customHeight="1">
      <c r="W5576" s="744"/>
    </row>
    <row r="5577" spans="23:23" ht="24" customHeight="1">
      <c r="W5577" s="744"/>
    </row>
    <row r="5578" spans="23:23" ht="24" customHeight="1">
      <c r="W5578" s="744"/>
    </row>
    <row r="5579" spans="23:23" ht="24" customHeight="1">
      <c r="W5579" s="744"/>
    </row>
    <row r="5580" spans="23:23" ht="24" customHeight="1">
      <c r="W5580" s="744"/>
    </row>
    <row r="5581" spans="23:23" ht="24" customHeight="1">
      <c r="W5581" s="744"/>
    </row>
    <row r="5582" spans="23:23" ht="24" customHeight="1">
      <c r="W5582" s="744"/>
    </row>
    <row r="5583" spans="23:23" ht="24" customHeight="1">
      <c r="W5583" s="744"/>
    </row>
    <row r="5584" spans="23:23" ht="24" customHeight="1">
      <c r="W5584" s="744"/>
    </row>
    <row r="5585" spans="23:23" ht="24" customHeight="1">
      <c r="W5585" s="744"/>
    </row>
    <row r="5586" spans="23:23" ht="24" customHeight="1">
      <c r="W5586" s="744"/>
    </row>
    <row r="5587" spans="23:23" ht="24" customHeight="1">
      <c r="W5587" s="744"/>
    </row>
    <row r="5588" spans="23:23" ht="24" customHeight="1">
      <c r="W5588" s="744"/>
    </row>
    <row r="5589" spans="23:23" ht="24" customHeight="1">
      <c r="W5589" s="744"/>
    </row>
    <row r="5590" spans="23:23" ht="24" customHeight="1">
      <c r="W5590" s="744"/>
    </row>
    <row r="5591" spans="23:23" ht="24" customHeight="1">
      <c r="W5591" s="744"/>
    </row>
    <row r="5592" spans="23:23" ht="24" customHeight="1">
      <c r="W5592" s="744"/>
    </row>
    <row r="5593" spans="23:23" ht="24" customHeight="1">
      <c r="W5593" s="744"/>
    </row>
    <row r="5594" spans="23:23" ht="24" customHeight="1">
      <c r="W5594" s="744"/>
    </row>
    <row r="5595" spans="23:23" ht="24" customHeight="1">
      <c r="W5595" s="744"/>
    </row>
    <row r="5596" spans="23:23" ht="24" customHeight="1">
      <c r="W5596" s="744"/>
    </row>
    <row r="5597" spans="23:23" ht="24" customHeight="1">
      <c r="W5597" s="744"/>
    </row>
    <row r="5598" spans="23:23" ht="24" customHeight="1">
      <c r="W5598" s="744"/>
    </row>
    <row r="5599" spans="23:23" ht="24" customHeight="1">
      <c r="W5599" s="744"/>
    </row>
    <row r="5600" spans="23:23" ht="24" customHeight="1">
      <c r="W5600" s="744"/>
    </row>
    <row r="5601" spans="23:23" ht="24" customHeight="1">
      <c r="W5601" s="744"/>
    </row>
    <row r="5602" spans="23:23" ht="24" customHeight="1">
      <c r="W5602" s="744"/>
    </row>
    <row r="5603" spans="23:23" ht="24" customHeight="1">
      <c r="W5603" s="744"/>
    </row>
    <row r="5604" spans="23:23" ht="24" customHeight="1">
      <c r="W5604" s="744"/>
    </row>
    <row r="5605" spans="23:23" ht="24" customHeight="1">
      <c r="W5605" s="744"/>
    </row>
    <row r="5606" spans="23:23" ht="24" customHeight="1">
      <c r="W5606" s="744"/>
    </row>
    <row r="5607" spans="23:23" ht="24" customHeight="1">
      <c r="W5607" s="744"/>
    </row>
    <row r="5608" spans="23:23" ht="24" customHeight="1">
      <c r="W5608" s="744"/>
    </row>
    <row r="5609" spans="23:23" ht="24" customHeight="1">
      <c r="W5609" s="744"/>
    </row>
    <row r="5610" spans="23:23" ht="24" customHeight="1">
      <c r="W5610" s="744"/>
    </row>
    <row r="5611" spans="23:23" ht="24" customHeight="1">
      <c r="W5611" s="744"/>
    </row>
    <row r="5612" spans="23:23" ht="24" customHeight="1">
      <c r="W5612" s="744"/>
    </row>
    <row r="5613" spans="23:23" ht="24" customHeight="1">
      <c r="W5613" s="744"/>
    </row>
    <row r="5614" spans="23:23" ht="24" customHeight="1">
      <c r="W5614" s="744"/>
    </row>
    <row r="5615" spans="23:23" ht="24" customHeight="1">
      <c r="W5615" s="744"/>
    </row>
    <row r="5616" spans="23:23" ht="24" customHeight="1">
      <c r="W5616" s="744"/>
    </row>
    <row r="5617" spans="23:23" ht="24" customHeight="1">
      <c r="W5617" s="744"/>
    </row>
    <row r="5618" spans="23:23" ht="24" customHeight="1">
      <c r="W5618" s="744"/>
    </row>
    <row r="5619" spans="23:23" ht="24" customHeight="1">
      <c r="W5619" s="744"/>
    </row>
    <row r="5620" spans="23:23" ht="24" customHeight="1">
      <c r="W5620" s="744"/>
    </row>
    <row r="5621" spans="23:23" ht="24" customHeight="1">
      <c r="W5621" s="744"/>
    </row>
    <row r="5622" spans="23:23" ht="24" customHeight="1">
      <c r="W5622" s="744"/>
    </row>
    <row r="5623" spans="23:23" ht="24" customHeight="1">
      <c r="W5623" s="744"/>
    </row>
    <row r="5624" spans="23:23" ht="24" customHeight="1">
      <c r="W5624" s="744"/>
    </row>
    <row r="5625" spans="23:23" ht="24" customHeight="1">
      <c r="W5625" s="744"/>
    </row>
    <row r="5626" spans="23:23" ht="24" customHeight="1">
      <c r="W5626" s="744"/>
    </row>
    <row r="5627" spans="23:23" ht="24" customHeight="1">
      <c r="W5627" s="744"/>
    </row>
    <row r="5628" spans="23:23" ht="24" customHeight="1">
      <c r="W5628" s="744"/>
    </row>
    <row r="5629" spans="23:23" ht="24" customHeight="1">
      <c r="W5629" s="744"/>
    </row>
    <row r="5630" spans="23:23" ht="24" customHeight="1">
      <c r="W5630" s="744"/>
    </row>
    <row r="5631" spans="23:23" ht="24" customHeight="1">
      <c r="W5631" s="744"/>
    </row>
    <row r="5632" spans="23:23" ht="24" customHeight="1">
      <c r="W5632" s="744"/>
    </row>
    <row r="5633" spans="23:23" ht="24" customHeight="1">
      <c r="W5633" s="744"/>
    </row>
    <row r="5634" spans="23:23" ht="24" customHeight="1">
      <c r="W5634" s="744"/>
    </row>
    <row r="5635" spans="23:23" ht="24" customHeight="1">
      <c r="W5635" s="744"/>
    </row>
    <row r="5636" spans="23:23" ht="24" customHeight="1">
      <c r="W5636" s="744"/>
    </row>
    <row r="5637" spans="23:23" ht="24" customHeight="1">
      <c r="W5637" s="744"/>
    </row>
    <row r="5638" spans="23:23" ht="24" customHeight="1">
      <c r="W5638" s="744"/>
    </row>
    <row r="5639" spans="23:23" ht="24" customHeight="1">
      <c r="W5639" s="744"/>
    </row>
    <row r="5640" spans="23:23" ht="24" customHeight="1">
      <c r="W5640" s="744"/>
    </row>
    <row r="5641" spans="23:23" ht="24" customHeight="1">
      <c r="W5641" s="744"/>
    </row>
    <row r="5642" spans="23:23" ht="24" customHeight="1">
      <c r="W5642" s="744"/>
    </row>
    <row r="5643" spans="23:23" ht="24" customHeight="1">
      <c r="W5643" s="744"/>
    </row>
    <row r="5644" spans="23:23" ht="24" customHeight="1">
      <c r="W5644" s="744"/>
    </row>
    <row r="5645" spans="23:23" ht="24" customHeight="1">
      <c r="W5645" s="744"/>
    </row>
    <row r="5646" spans="23:23" ht="24" customHeight="1">
      <c r="W5646" s="744"/>
    </row>
    <row r="5647" spans="23:23" ht="24" customHeight="1">
      <c r="W5647" s="744"/>
    </row>
    <row r="5648" spans="23:23" ht="24" customHeight="1">
      <c r="W5648" s="744"/>
    </row>
    <row r="5649" spans="23:23" ht="24" customHeight="1">
      <c r="W5649" s="744"/>
    </row>
    <row r="5650" spans="23:23" ht="24" customHeight="1">
      <c r="W5650" s="744"/>
    </row>
    <row r="5651" spans="23:23" ht="24" customHeight="1">
      <c r="W5651" s="744"/>
    </row>
    <row r="5652" spans="23:23" ht="24" customHeight="1">
      <c r="W5652" s="744"/>
    </row>
    <row r="5653" spans="23:23" ht="24" customHeight="1">
      <c r="W5653" s="744"/>
    </row>
    <row r="5654" spans="23:23" ht="24" customHeight="1">
      <c r="W5654" s="744"/>
    </row>
    <row r="5655" spans="23:23" ht="24" customHeight="1">
      <c r="W5655" s="744"/>
    </row>
    <row r="5656" spans="23:23" ht="24" customHeight="1">
      <c r="W5656" s="744"/>
    </row>
    <row r="5657" spans="23:23" ht="24" customHeight="1">
      <c r="W5657" s="744"/>
    </row>
    <row r="5658" spans="23:23" ht="24" customHeight="1">
      <c r="W5658" s="744"/>
    </row>
    <row r="5659" spans="23:23" ht="24" customHeight="1">
      <c r="W5659" s="744"/>
    </row>
    <row r="5660" spans="23:23" ht="24" customHeight="1">
      <c r="W5660" s="744"/>
    </row>
    <row r="5661" spans="23:23" ht="24" customHeight="1">
      <c r="W5661" s="744"/>
    </row>
    <row r="5662" spans="23:23" ht="24" customHeight="1">
      <c r="W5662" s="744"/>
    </row>
    <row r="5663" spans="23:23" ht="24" customHeight="1">
      <c r="W5663" s="744"/>
    </row>
    <row r="5664" spans="23:23" ht="24" customHeight="1">
      <c r="W5664" s="744"/>
    </row>
    <row r="5665" spans="23:23" ht="24" customHeight="1">
      <c r="W5665" s="744"/>
    </row>
    <row r="5666" spans="23:23" ht="24" customHeight="1">
      <c r="W5666" s="744"/>
    </row>
    <row r="5667" spans="23:23" ht="24" customHeight="1">
      <c r="W5667" s="744"/>
    </row>
    <row r="5668" spans="23:23" ht="24" customHeight="1">
      <c r="W5668" s="744"/>
    </row>
    <row r="5669" spans="23:23" ht="24" customHeight="1">
      <c r="W5669" s="744"/>
    </row>
    <row r="5670" spans="23:23" ht="24" customHeight="1">
      <c r="W5670" s="744"/>
    </row>
    <row r="5671" spans="23:23" ht="24" customHeight="1">
      <c r="W5671" s="744"/>
    </row>
    <row r="5672" spans="23:23" ht="24" customHeight="1">
      <c r="W5672" s="744"/>
    </row>
    <row r="5673" spans="23:23" ht="24" customHeight="1">
      <c r="W5673" s="744"/>
    </row>
    <row r="5674" spans="23:23" ht="24" customHeight="1">
      <c r="W5674" s="744"/>
    </row>
    <row r="5675" spans="23:23" ht="24" customHeight="1">
      <c r="W5675" s="744"/>
    </row>
    <row r="5676" spans="23:23" ht="24" customHeight="1">
      <c r="W5676" s="744"/>
    </row>
    <row r="5677" spans="23:23" ht="24" customHeight="1">
      <c r="W5677" s="744"/>
    </row>
    <row r="5678" spans="23:23" ht="24" customHeight="1">
      <c r="W5678" s="744"/>
    </row>
    <row r="5679" spans="23:23" ht="24" customHeight="1">
      <c r="W5679" s="744"/>
    </row>
    <row r="5680" spans="23:23" ht="24" customHeight="1">
      <c r="W5680" s="744"/>
    </row>
    <row r="5681" spans="23:23" ht="24" customHeight="1">
      <c r="W5681" s="744"/>
    </row>
    <row r="5682" spans="23:23" ht="24" customHeight="1">
      <c r="W5682" s="744"/>
    </row>
    <row r="5683" spans="23:23" ht="24" customHeight="1">
      <c r="W5683" s="744"/>
    </row>
    <row r="5684" spans="23:23" ht="24" customHeight="1">
      <c r="W5684" s="744"/>
    </row>
    <row r="5685" spans="23:23" ht="24" customHeight="1">
      <c r="W5685" s="744"/>
    </row>
    <row r="5686" spans="23:23" ht="24" customHeight="1">
      <c r="W5686" s="744"/>
    </row>
    <row r="5687" spans="23:23" ht="24" customHeight="1">
      <c r="W5687" s="744"/>
    </row>
    <row r="5688" spans="23:23" ht="24" customHeight="1">
      <c r="W5688" s="744"/>
    </row>
    <row r="5689" spans="23:23" ht="24" customHeight="1">
      <c r="W5689" s="744"/>
    </row>
    <row r="5690" spans="23:23" ht="24" customHeight="1">
      <c r="W5690" s="744"/>
    </row>
    <row r="5691" spans="23:23" ht="24" customHeight="1">
      <c r="W5691" s="744"/>
    </row>
    <row r="5692" spans="23:23" ht="24" customHeight="1">
      <c r="W5692" s="744"/>
    </row>
    <row r="5693" spans="23:23" ht="24" customHeight="1">
      <c r="W5693" s="744"/>
    </row>
    <row r="5694" spans="23:23" ht="24" customHeight="1">
      <c r="W5694" s="744"/>
    </row>
    <row r="5695" spans="23:23" ht="24" customHeight="1">
      <c r="W5695" s="744"/>
    </row>
    <row r="5696" spans="23:23" ht="24" customHeight="1">
      <c r="W5696" s="744"/>
    </row>
    <row r="5697" spans="23:23" ht="24" customHeight="1">
      <c r="W5697" s="744"/>
    </row>
    <row r="5698" spans="23:23" ht="24" customHeight="1">
      <c r="W5698" s="744"/>
    </row>
    <row r="5699" spans="23:23" ht="24" customHeight="1">
      <c r="W5699" s="744"/>
    </row>
    <row r="5700" spans="23:23" ht="24" customHeight="1">
      <c r="W5700" s="744"/>
    </row>
    <row r="5701" spans="23:23" ht="24" customHeight="1">
      <c r="W5701" s="744"/>
    </row>
    <row r="5702" spans="23:23" ht="24" customHeight="1">
      <c r="W5702" s="744"/>
    </row>
    <row r="5703" spans="23:23" ht="24" customHeight="1">
      <c r="W5703" s="744"/>
    </row>
    <row r="5704" spans="23:23" ht="24" customHeight="1">
      <c r="W5704" s="744"/>
    </row>
    <row r="5705" spans="23:23" ht="24" customHeight="1">
      <c r="W5705" s="744"/>
    </row>
    <row r="5706" spans="23:23" ht="24" customHeight="1">
      <c r="W5706" s="744"/>
    </row>
    <row r="5707" spans="23:23" ht="24" customHeight="1">
      <c r="W5707" s="744"/>
    </row>
    <row r="5708" spans="23:23" ht="24" customHeight="1">
      <c r="W5708" s="744"/>
    </row>
    <row r="5709" spans="23:23" ht="24" customHeight="1">
      <c r="W5709" s="744"/>
    </row>
    <row r="5710" spans="23:23" ht="24" customHeight="1">
      <c r="W5710" s="744"/>
    </row>
    <row r="5711" spans="23:23" ht="24" customHeight="1">
      <c r="W5711" s="744"/>
    </row>
    <row r="5712" spans="23:23" ht="24" customHeight="1">
      <c r="W5712" s="744"/>
    </row>
    <row r="5713" spans="23:23" ht="24" customHeight="1">
      <c r="W5713" s="744"/>
    </row>
    <row r="5714" spans="23:23" ht="24" customHeight="1">
      <c r="W5714" s="744"/>
    </row>
    <row r="5715" spans="23:23" ht="24" customHeight="1">
      <c r="W5715" s="744"/>
    </row>
    <row r="5716" spans="23:23" ht="24" customHeight="1">
      <c r="W5716" s="744"/>
    </row>
    <row r="5717" spans="23:23" ht="24" customHeight="1">
      <c r="W5717" s="744"/>
    </row>
    <row r="5718" spans="23:23" ht="24" customHeight="1">
      <c r="W5718" s="744"/>
    </row>
    <row r="5719" spans="23:23" ht="24" customHeight="1">
      <c r="W5719" s="744"/>
    </row>
    <row r="5720" spans="23:23" ht="24" customHeight="1">
      <c r="W5720" s="744"/>
    </row>
    <row r="5721" spans="23:23" ht="24" customHeight="1">
      <c r="W5721" s="744"/>
    </row>
    <row r="5722" spans="23:23" ht="24" customHeight="1">
      <c r="W5722" s="744"/>
    </row>
    <row r="5723" spans="23:23" ht="24" customHeight="1">
      <c r="W5723" s="744"/>
    </row>
    <row r="5724" spans="23:23" ht="24" customHeight="1">
      <c r="W5724" s="744"/>
    </row>
    <row r="5725" spans="23:23" ht="24" customHeight="1">
      <c r="W5725" s="744"/>
    </row>
    <row r="5726" spans="23:23" ht="24" customHeight="1">
      <c r="W5726" s="744"/>
    </row>
    <row r="5727" spans="23:23" ht="24" customHeight="1">
      <c r="W5727" s="744"/>
    </row>
    <row r="5728" spans="23:23" ht="24" customHeight="1">
      <c r="W5728" s="744"/>
    </row>
    <row r="5729" spans="23:23" ht="24" customHeight="1">
      <c r="W5729" s="744"/>
    </row>
    <row r="5730" spans="23:23" ht="24" customHeight="1">
      <c r="W5730" s="744"/>
    </row>
    <row r="5731" spans="23:23" ht="24" customHeight="1">
      <c r="W5731" s="744"/>
    </row>
    <row r="5732" spans="23:23" ht="24" customHeight="1">
      <c r="W5732" s="744"/>
    </row>
    <row r="5733" spans="23:23" ht="24" customHeight="1">
      <c r="W5733" s="744"/>
    </row>
    <row r="5734" spans="23:23" ht="24" customHeight="1">
      <c r="W5734" s="744"/>
    </row>
    <row r="5735" spans="23:23" ht="24" customHeight="1">
      <c r="W5735" s="744"/>
    </row>
    <row r="5736" spans="23:23" ht="24" customHeight="1">
      <c r="W5736" s="744"/>
    </row>
    <row r="5737" spans="23:23" ht="24" customHeight="1">
      <c r="W5737" s="744"/>
    </row>
    <row r="5738" spans="23:23" ht="24" customHeight="1">
      <c r="W5738" s="744"/>
    </row>
    <row r="5739" spans="23:23" ht="24" customHeight="1">
      <c r="W5739" s="744"/>
    </row>
    <row r="5740" spans="23:23" ht="24" customHeight="1">
      <c r="W5740" s="744"/>
    </row>
    <row r="5741" spans="23:23" ht="24" customHeight="1">
      <c r="W5741" s="744"/>
    </row>
    <row r="5742" spans="23:23" ht="24" customHeight="1">
      <c r="W5742" s="744"/>
    </row>
    <row r="5743" spans="23:23" ht="24" customHeight="1">
      <c r="W5743" s="744"/>
    </row>
    <row r="5744" spans="23:23" ht="24" customHeight="1">
      <c r="W5744" s="744"/>
    </row>
    <row r="5745" spans="23:23" ht="24" customHeight="1">
      <c r="W5745" s="744"/>
    </row>
    <row r="5746" spans="23:23" ht="24" customHeight="1">
      <c r="W5746" s="744"/>
    </row>
    <row r="5747" spans="23:23" ht="24" customHeight="1">
      <c r="W5747" s="744"/>
    </row>
    <row r="5748" spans="23:23" ht="24" customHeight="1">
      <c r="W5748" s="744"/>
    </row>
    <row r="5749" spans="23:23" ht="24" customHeight="1">
      <c r="W5749" s="744"/>
    </row>
    <row r="5750" spans="23:23" ht="24" customHeight="1">
      <c r="W5750" s="744"/>
    </row>
    <row r="5751" spans="23:23" ht="24" customHeight="1">
      <c r="W5751" s="744"/>
    </row>
    <row r="5752" spans="23:23" ht="24" customHeight="1">
      <c r="W5752" s="744"/>
    </row>
    <row r="5753" spans="23:23" ht="24" customHeight="1">
      <c r="W5753" s="744"/>
    </row>
    <row r="5754" spans="23:23" ht="24" customHeight="1">
      <c r="W5754" s="744"/>
    </row>
    <row r="5755" spans="23:23" ht="24" customHeight="1">
      <c r="W5755" s="744"/>
    </row>
    <row r="5756" spans="23:23" ht="24" customHeight="1">
      <c r="W5756" s="744"/>
    </row>
    <row r="5757" spans="23:23" ht="24" customHeight="1">
      <c r="W5757" s="744"/>
    </row>
    <row r="5758" spans="23:23" ht="24" customHeight="1">
      <c r="W5758" s="744"/>
    </row>
    <row r="5759" spans="23:23" ht="24" customHeight="1">
      <c r="W5759" s="744"/>
    </row>
    <row r="5760" spans="23:23" ht="24" customHeight="1">
      <c r="W5760" s="744"/>
    </row>
    <row r="5761" spans="23:23" ht="24" customHeight="1">
      <c r="W5761" s="744"/>
    </row>
    <row r="5762" spans="23:23" ht="24" customHeight="1">
      <c r="W5762" s="744"/>
    </row>
    <row r="5763" spans="23:23" ht="24" customHeight="1">
      <c r="W5763" s="744"/>
    </row>
    <row r="5764" spans="23:23" ht="24" customHeight="1">
      <c r="W5764" s="744"/>
    </row>
    <row r="5765" spans="23:23" ht="24" customHeight="1">
      <c r="W5765" s="744"/>
    </row>
    <row r="5766" spans="23:23" ht="24" customHeight="1">
      <c r="W5766" s="744"/>
    </row>
    <row r="5767" spans="23:23" ht="24" customHeight="1">
      <c r="W5767" s="744"/>
    </row>
    <row r="5768" spans="23:23" ht="24" customHeight="1">
      <c r="W5768" s="744"/>
    </row>
    <row r="5769" spans="23:23" ht="24" customHeight="1">
      <c r="W5769" s="744"/>
    </row>
    <row r="5770" spans="23:23" ht="24" customHeight="1">
      <c r="W5770" s="744"/>
    </row>
    <row r="5771" spans="23:23" ht="24" customHeight="1">
      <c r="W5771" s="744"/>
    </row>
    <row r="5772" spans="23:23" ht="24" customHeight="1">
      <c r="W5772" s="744"/>
    </row>
    <row r="5773" spans="23:23" ht="24" customHeight="1">
      <c r="W5773" s="744"/>
    </row>
    <row r="5774" spans="23:23" ht="24" customHeight="1">
      <c r="W5774" s="744"/>
    </row>
    <row r="5775" spans="23:23" ht="24" customHeight="1">
      <c r="W5775" s="744"/>
    </row>
    <row r="5776" spans="23:23" ht="24" customHeight="1">
      <c r="W5776" s="744"/>
    </row>
    <row r="5777" spans="23:23" ht="24" customHeight="1">
      <c r="W5777" s="744"/>
    </row>
    <row r="5778" spans="23:23" ht="24" customHeight="1">
      <c r="W5778" s="744"/>
    </row>
    <row r="5779" spans="23:23" ht="24" customHeight="1">
      <c r="W5779" s="744"/>
    </row>
    <row r="5780" spans="23:23" ht="24" customHeight="1">
      <c r="W5780" s="744"/>
    </row>
    <row r="5781" spans="23:23" ht="24" customHeight="1">
      <c r="W5781" s="744"/>
    </row>
    <row r="5782" spans="23:23" ht="24" customHeight="1">
      <c r="W5782" s="744"/>
    </row>
    <row r="5783" spans="23:23" ht="24" customHeight="1">
      <c r="W5783" s="744"/>
    </row>
    <row r="5784" spans="23:23" ht="24" customHeight="1">
      <c r="W5784" s="744"/>
    </row>
    <row r="5785" spans="23:23" ht="24" customHeight="1">
      <c r="W5785" s="744"/>
    </row>
    <row r="5786" spans="23:23" ht="24" customHeight="1">
      <c r="W5786" s="744"/>
    </row>
    <row r="5787" spans="23:23" ht="24" customHeight="1">
      <c r="W5787" s="744"/>
    </row>
    <row r="5788" spans="23:23" ht="24" customHeight="1">
      <c r="W5788" s="744"/>
    </row>
    <row r="5789" spans="23:23" ht="24" customHeight="1">
      <c r="W5789" s="744"/>
    </row>
    <row r="5790" spans="23:23" ht="24" customHeight="1">
      <c r="W5790" s="744"/>
    </row>
    <row r="5791" spans="23:23" ht="24" customHeight="1">
      <c r="W5791" s="744"/>
    </row>
    <row r="5792" spans="23:23" ht="24" customHeight="1">
      <c r="W5792" s="744"/>
    </row>
    <row r="5793" spans="23:23" ht="24" customHeight="1">
      <c r="W5793" s="744"/>
    </row>
    <row r="5794" spans="23:23" ht="24" customHeight="1">
      <c r="W5794" s="744"/>
    </row>
    <row r="5795" spans="23:23" ht="24" customHeight="1">
      <c r="W5795" s="744"/>
    </row>
    <row r="5796" spans="23:23" ht="24" customHeight="1">
      <c r="W5796" s="744"/>
    </row>
    <row r="5797" spans="23:23" ht="24" customHeight="1">
      <c r="W5797" s="744"/>
    </row>
    <row r="5798" spans="23:23" ht="24" customHeight="1">
      <c r="W5798" s="744"/>
    </row>
    <row r="5799" spans="23:23" ht="24" customHeight="1">
      <c r="W5799" s="744"/>
    </row>
    <row r="5800" spans="23:23" ht="24" customHeight="1">
      <c r="W5800" s="744"/>
    </row>
    <row r="5801" spans="23:23" ht="24" customHeight="1">
      <c r="W5801" s="744"/>
    </row>
    <row r="5802" spans="23:23" ht="24" customHeight="1">
      <c r="W5802" s="744"/>
    </row>
    <row r="5803" spans="23:23" ht="24" customHeight="1">
      <c r="W5803" s="744"/>
    </row>
    <row r="5804" spans="23:23" ht="24" customHeight="1">
      <c r="W5804" s="744"/>
    </row>
    <row r="5805" spans="23:23" ht="24" customHeight="1">
      <c r="W5805" s="744"/>
    </row>
    <row r="5806" spans="23:23" ht="24" customHeight="1">
      <c r="W5806" s="744"/>
    </row>
    <row r="5807" spans="23:23" ht="24" customHeight="1">
      <c r="W5807" s="744"/>
    </row>
    <row r="5808" spans="23:23" ht="24" customHeight="1">
      <c r="W5808" s="744"/>
    </row>
    <row r="5809" spans="23:23" ht="24" customHeight="1">
      <c r="W5809" s="744"/>
    </row>
    <row r="5810" spans="23:23" ht="24" customHeight="1">
      <c r="W5810" s="744"/>
    </row>
    <row r="5811" spans="23:23" ht="24" customHeight="1">
      <c r="W5811" s="744"/>
    </row>
    <row r="5812" spans="23:23" ht="24" customHeight="1">
      <c r="W5812" s="744"/>
    </row>
    <row r="5813" spans="23:23" ht="24" customHeight="1">
      <c r="W5813" s="744"/>
    </row>
    <row r="5814" spans="23:23" ht="24" customHeight="1">
      <c r="W5814" s="744"/>
    </row>
    <row r="5815" spans="23:23" ht="24" customHeight="1">
      <c r="W5815" s="744"/>
    </row>
    <row r="5816" spans="23:23" ht="24" customHeight="1">
      <c r="W5816" s="744"/>
    </row>
    <row r="5817" spans="23:23" ht="24" customHeight="1">
      <c r="W5817" s="744"/>
    </row>
    <row r="5818" spans="23:23" ht="24" customHeight="1">
      <c r="W5818" s="744"/>
    </row>
    <row r="5819" spans="23:23" ht="24" customHeight="1">
      <c r="W5819" s="744"/>
    </row>
    <row r="5820" spans="23:23" ht="24" customHeight="1">
      <c r="W5820" s="744"/>
    </row>
    <row r="5821" spans="23:23" ht="24" customHeight="1">
      <c r="W5821" s="744"/>
    </row>
    <row r="5822" spans="23:23" ht="24" customHeight="1">
      <c r="W5822" s="744"/>
    </row>
    <row r="5823" spans="23:23" ht="24" customHeight="1">
      <c r="W5823" s="744"/>
    </row>
    <row r="5824" spans="23:23" ht="24" customHeight="1">
      <c r="W5824" s="744"/>
    </row>
    <row r="5825" spans="23:23" ht="24" customHeight="1">
      <c r="W5825" s="744"/>
    </row>
    <row r="5826" spans="23:23" ht="24" customHeight="1">
      <c r="W5826" s="744"/>
    </row>
    <row r="5827" spans="23:23" ht="24" customHeight="1">
      <c r="W5827" s="744"/>
    </row>
    <row r="5828" spans="23:23" ht="24" customHeight="1">
      <c r="W5828" s="744"/>
    </row>
    <row r="5829" spans="23:23" ht="24" customHeight="1">
      <c r="W5829" s="744"/>
    </row>
    <row r="5830" spans="23:23" ht="24" customHeight="1">
      <c r="W5830" s="744"/>
    </row>
    <row r="5831" spans="23:23" ht="24" customHeight="1">
      <c r="W5831" s="744"/>
    </row>
    <row r="5832" spans="23:23" ht="24" customHeight="1">
      <c r="W5832" s="744"/>
    </row>
    <row r="5833" spans="23:23" ht="24" customHeight="1">
      <c r="W5833" s="744"/>
    </row>
    <row r="5834" spans="23:23" ht="24" customHeight="1">
      <c r="W5834" s="744"/>
    </row>
    <row r="5835" spans="23:23" ht="24" customHeight="1">
      <c r="W5835" s="744"/>
    </row>
    <row r="5836" spans="23:23" ht="24" customHeight="1">
      <c r="W5836" s="744"/>
    </row>
    <row r="5837" spans="23:23" ht="24" customHeight="1">
      <c r="W5837" s="744"/>
    </row>
    <row r="5838" spans="23:23" ht="24" customHeight="1">
      <c r="W5838" s="744"/>
    </row>
    <row r="5839" spans="23:23" ht="24" customHeight="1">
      <c r="W5839" s="744"/>
    </row>
    <row r="5840" spans="23:23" ht="24" customHeight="1">
      <c r="W5840" s="744"/>
    </row>
    <row r="5841" spans="23:23" ht="24" customHeight="1">
      <c r="W5841" s="744"/>
    </row>
    <row r="5842" spans="23:23" ht="24" customHeight="1">
      <c r="W5842" s="744"/>
    </row>
    <row r="5843" spans="23:23" ht="24" customHeight="1">
      <c r="W5843" s="744"/>
    </row>
    <row r="5844" spans="23:23" ht="24" customHeight="1">
      <c r="W5844" s="744"/>
    </row>
    <row r="5845" spans="23:23" ht="24" customHeight="1">
      <c r="W5845" s="744"/>
    </row>
    <row r="5846" spans="23:23" ht="24" customHeight="1">
      <c r="W5846" s="744"/>
    </row>
    <row r="5847" spans="23:23" ht="24" customHeight="1">
      <c r="W5847" s="744"/>
    </row>
    <row r="5848" spans="23:23" ht="24" customHeight="1">
      <c r="W5848" s="744"/>
    </row>
    <row r="5849" spans="23:23" ht="24" customHeight="1">
      <c r="W5849" s="744"/>
    </row>
    <row r="5850" spans="23:23" ht="24" customHeight="1">
      <c r="W5850" s="744"/>
    </row>
    <row r="5851" spans="23:23" ht="24" customHeight="1">
      <c r="W5851" s="744"/>
    </row>
    <row r="5852" spans="23:23" ht="24" customHeight="1">
      <c r="W5852" s="744"/>
    </row>
    <row r="5853" spans="23:23" ht="24" customHeight="1">
      <c r="W5853" s="744"/>
    </row>
    <row r="5854" spans="23:23" ht="24" customHeight="1">
      <c r="W5854" s="744"/>
    </row>
    <row r="5855" spans="23:23" ht="24" customHeight="1">
      <c r="W5855" s="744"/>
    </row>
    <row r="5856" spans="23:23" ht="24" customHeight="1">
      <c r="W5856" s="744"/>
    </row>
    <row r="5857" spans="23:23" ht="24" customHeight="1">
      <c r="W5857" s="744"/>
    </row>
    <row r="5858" spans="23:23" ht="24" customHeight="1">
      <c r="W5858" s="744"/>
    </row>
    <row r="5859" spans="23:23" ht="24" customHeight="1">
      <c r="W5859" s="744"/>
    </row>
    <row r="5860" spans="23:23" ht="24" customHeight="1">
      <c r="W5860" s="744"/>
    </row>
    <row r="5861" spans="23:23" ht="24" customHeight="1">
      <c r="W5861" s="744"/>
    </row>
    <row r="5862" spans="23:23" ht="24" customHeight="1">
      <c r="W5862" s="744"/>
    </row>
    <row r="5863" spans="23:23" ht="24" customHeight="1">
      <c r="W5863" s="744"/>
    </row>
    <row r="5864" spans="23:23" ht="24" customHeight="1">
      <c r="W5864" s="744"/>
    </row>
    <row r="5865" spans="23:23" ht="24" customHeight="1">
      <c r="W5865" s="744"/>
    </row>
    <row r="5866" spans="23:23" ht="24" customHeight="1">
      <c r="W5866" s="744"/>
    </row>
    <row r="5867" spans="23:23" ht="24" customHeight="1">
      <c r="W5867" s="744"/>
    </row>
    <row r="5868" spans="23:23" ht="24" customHeight="1">
      <c r="W5868" s="744"/>
    </row>
    <row r="5869" spans="23:23" ht="24" customHeight="1">
      <c r="W5869" s="744"/>
    </row>
    <row r="5870" spans="23:23" ht="24" customHeight="1">
      <c r="W5870" s="744"/>
    </row>
    <row r="5871" spans="23:23" ht="24" customHeight="1">
      <c r="W5871" s="744"/>
    </row>
    <row r="5872" spans="23:23" ht="24" customHeight="1">
      <c r="W5872" s="744"/>
    </row>
    <row r="5873" spans="23:23" ht="24" customHeight="1">
      <c r="W5873" s="744"/>
    </row>
    <row r="5874" spans="23:23" ht="24" customHeight="1">
      <c r="W5874" s="744"/>
    </row>
    <row r="5875" spans="23:23" ht="24" customHeight="1">
      <c r="W5875" s="744"/>
    </row>
    <row r="5876" spans="23:23" ht="24" customHeight="1">
      <c r="W5876" s="744"/>
    </row>
    <row r="5877" spans="23:23" ht="24" customHeight="1">
      <c r="W5877" s="744"/>
    </row>
    <row r="5878" spans="23:23" ht="24" customHeight="1">
      <c r="W5878" s="744"/>
    </row>
    <row r="5879" spans="23:23" ht="24" customHeight="1">
      <c r="W5879" s="744"/>
    </row>
    <row r="5880" spans="23:23" ht="24" customHeight="1">
      <c r="W5880" s="744"/>
    </row>
    <row r="5881" spans="23:23" ht="24" customHeight="1">
      <c r="W5881" s="744"/>
    </row>
    <row r="5882" spans="23:23" ht="24" customHeight="1">
      <c r="W5882" s="744"/>
    </row>
    <row r="5883" spans="23:23" ht="24" customHeight="1">
      <c r="W5883" s="744"/>
    </row>
    <row r="5884" spans="23:23" ht="24" customHeight="1">
      <c r="W5884" s="744"/>
    </row>
    <row r="5885" spans="23:23" ht="24" customHeight="1">
      <c r="W5885" s="744"/>
    </row>
    <row r="5886" spans="23:23" ht="24" customHeight="1">
      <c r="W5886" s="744"/>
    </row>
    <row r="5887" spans="23:23" ht="24" customHeight="1">
      <c r="W5887" s="744"/>
    </row>
    <row r="5888" spans="23:23" ht="24" customHeight="1">
      <c r="W5888" s="744"/>
    </row>
    <row r="5889" spans="23:23" ht="24" customHeight="1">
      <c r="W5889" s="744"/>
    </row>
    <row r="5890" spans="23:23" ht="24" customHeight="1">
      <c r="W5890" s="744"/>
    </row>
    <row r="5891" spans="23:23" ht="24" customHeight="1">
      <c r="W5891" s="744"/>
    </row>
    <row r="5892" spans="23:23" ht="24" customHeight="1">
      <c r="W5892" s="744"/>
    </row>
    <row r="5893" spans="23:23" ht="24" customHeight="1">
      <c r="W5893" s="744"/>
    </row>
    <row r="5894" spans="23:23" ht="24" customHeight="1">
      <c r="W5894" s="744"/>
    </row>
    <row r="5895" spans="23:23" ht="24" customHeight="1">
      <c r="W5895" s="744"/>
    </row>
    <row r="5896" spans="23:23" ht="24" customHeight="1">
      <c r="W5896" s="744"/>
    </row>
    <row r="5897" spans="23:23" ht="24" customHeight="1">
      <c r="W5897" s="744"/>
    </row>
    <row r="5898" spans="23:23" ht="24" customHeight="1">
      <c r="W5898" s="744"/>
    </row>
    <row r="5899" spans="23:23" ht="24" customHeight="1">
      <c r="W5899" s="744"/>
    </row>
    <row r="5900" spans="23:23" ht="24" customHeight="1">
      <c r="W5900" s="744"/>
    </row>
    <row r="5901" spans="23:23" ht="24" customHeight="1">
      <c r="W5901" s="744"/>
    </row>
    <row r="5902" spans="23:23" ht="24" customHeight="1">
      <c r="W5902" s="744"/>
    </row>
    <row r="5903" spans="23:23" ht="24" customHeight="1">
      <c r="W5903" s="744"/>
    </row>
    <row r="5904" spans="23:23" ht="24" customHeight="1">
      <c r="W5904" s="744"/>
    </row>
    <row r="5905" spans="23:23" ht="24" customHeight="1">
      <c r="W5905" s="744"/>
    </row>
    <row r="5906" spans="23:23" ht="24" customHeight="1">
      <c r="W5906" s="744"/>
    </row>
    <row r="5907" spans="23:23" ht="24" customHeight="1">
      <c r="W5907" s="744"/>
    </row>
    <row r="5908" spans="23:23" ht="24" customHeight="1">
      <c r="W5908" s="744"/>
    </row>
    <row r="5909" spans="23:23" ht="24" customHeight="1">
      <c r="W5909" s="744"/>
    </row>
    <row r="5910" spans="23:23" ht="24" customHeight="1">
      <c r="W5910" s="744"/>
    </row>
    <row r="5911" spans="23:23" ht="24" customHeight="1">
      <c r="W5911" s="744"/>
    </row>
    <row r="5912" spans="23:23" ht="24" customHeight="1">
      <c r="W5912" s="744"/>
    </row>
    <row r="5913" spans="23:23" ht="24" customHeight="1">
      <c r="W5913" s="744"/>
    </row>
    <row r="5914" spans="23:23" ht="24" customHeight="1">
      <c r="W5914" s="744"/>
    </row>
    <row r="5915" spans="23:23" ht="24" customHeight="1">
      <c r="W5915" s="744"/>
    </row>
    <row r="5916" spans="23:23" ht="24" customHeight="1">
      <c r="W5916" s="744"/>
    </row>
    <row r="5917" spans="23:23" ht="24" customHeight="1">
      <c r="W5917" s="744"/>
    </row>
    <row r="5918" spans="23:23" ht="24" customHeight="1">
      <c r="W5918" s="744"/>
    </row>
    <row r="5919" spans="23:23" ht="24" customHeight="1">
      <c r="W5919" s="744"/>
    </row>
    <row r="5920" spans="23:23" ht="24" customHeight="1">
      <c r="W5920" s="744"/>
    </row>
    <row r="5921" spans="23:23" ht="24" customHeight="1">
      <c r="W5921" s="744"/>
    </row>
    <row r="5922" spans="23:23" ht="24" customHeight="1">
      <c r="W5922" s="744"/>
    </row>
    <row r="5923" spans="23:23" ht="24" customHeight="1">
      <c r="W5923" s="744"/>
    </row>
    <row r="5924" spans="23:23" ht="24" customHeight="1">
      <c r="W5924" s="744"/>
    </row>
    <row r="5925" spans="23:23" ht="24" customHeight="1">
      <c r="W5925" s="744"/>
    </row>
    <row r="5926" spans="23:23" ht="24" customHeight="1">
      <c r="W5926" s="744"/>
    </row>
    <row r="5927" spans="23:23" ht="24" customHeight="1">
      <c r="W5927" s="744"/>
    </row>
    <row r="5928" spans="23:23" ht="24" customHeight="1">
      <c r="W5928" s="744"/>
    </row>
    <row r="5929" spans="23:23" ht="24" customHeight="1">
      <c r="W5929" s="744"/>
    </row>
    <row r="5930" spans="23:23" ht="24" customHeight="1">
      <c r="W5930" s="744"/>
    </row>
    <row r="5931" spans="23:23" ht="24" customHeight="1">
      <c r="W5931" s="744"/>
    </row>
    <row r="5932" spans="23:23" ht="24" customHeight="1">
      <c r="W5932" s="744"/>
    </row>
    <row r="5933" spans="23:23" ht="24" customHeight="1">
      <c r="W5933" s="744"/>
    </row>
    <row r="5934" spans="23:23" ht="24" customHeight="1">
      <c r="W5934" s="744"/>
    </row>
    <row r="5935" spans="23:23" ht="24" customHeight="1">
      <c r="W5935" s="744"/>
    </row>
    <row r="5936" spans="23:23" ht="24" customHeight="1">
      <c r="W5936" s="744"/>
    </row>
    <row r="5937" spans="23:23" ht="24" customHeight="1">
      <c r="W5937" s="744"/>
    </row>
    <row r="5938" spans="23:23" ht="24" customHeight="1">
      <c r="W5938" s="744"/>
    </row>
    <row r="5939" spans="23:23" ht="24" customHeight="1">
      <c r="W5939" s="744"/>
    </row>
    <row r="5940" spans="23:23" ht="24" customHeight="1">
      <c r="W5940" s="744"/>
    </row>
    <row r="5941" spans="23:23" ht="24" customHeight="1">
      <c r="W5941" s="744"/>
    </row>
    <row r="5942" spans="23:23" ht="24" customHeight="1">
      <c r="W5942" s="744"/>
    </row>
    <row r="5943" spans="23:23" ht="24" customHeight="1">
      <c r="W5943" s="744"/>
    </row>
    <row r="5944" spans="23:23" ht="24" customHeight="1">
      <c r="W5944" s="744"/>
    </row>
    <row r="5945" spans="23:23" ht="24" customHeight="1">
      <c r="W5945" s="744"/>
    </row>
    <row r="5946" spans="23:23" ht="24" customHeight="1">
      <c r="W5946" s="744"/>
    </row>
    <row r="5947" spans="23:23" ht="24" customHeight="1">
      <c r="W5947" s="744"/>
    </row>
    <row r="5948" spans="23:23" ht="24" customHeight="1">
      <c r="W5948" s="744"/>
    </row>
    <row r="5949" spans="23:23" ht="24" customHeight="1">
      <c r="W5949" s="744"/>
    </row>
    <row r="5950" spans="23:23" ht="24" customHeight="1">
      <c r="W5950" s="744"/>
    </row>
    <row r="5951" spans="23:23" ht="24" customHeight="1">
      <c r="W5951" s="744"/>
    </row>
    <row r="5952" spans="23:23" ht="24" customHeight="1">
      <c r="W5952" s="744"/>
    </row>
    <row r="5953" spans="23:23" ht="24" customHeight="1">
      <c r="W5953" s="744"/>
    </row>
    <row r="5954" spans="23:23" ht="24" customHeight="1">
      <c r="W5954" s="744"/>
    </row>
    <row r="5955" spans="23:23" ht="24" customHeight="1">
      <c r="W5955" s="744"/>
    </row>
    <row r="5956" spans="23:23" ht="24" customHeight="1">
      <c r="W5956" s="744"/>
    </row>
    <row r="5957" spans="23:23" ht="24" customHeight="1">
      <c r="W5957" s="744"/>
    </row>
    <row r="5958" spans="23:23" ht="24" customHeight="1">
      <c r="W5958" s="744"/>
    </row>
    <row r="5959" spans="23:23" ht="24" customHeight="1">
      <c r="W5959" s="744"/>
    </row>
    <row r="5960" spans="23:23" ht="24" customHeight="1">
      <c r="W5960" s="744"/>
    </row>
    <row r="5961" spans="23:23" ht="24" customHeight="1">
      <c r="W5961" s="744"/>
    </row>
    <row r="5962" spans="23:23" ht="24" customHeight="1">
      <c r="W5962" s="744"/>
    </row>
    <row r="5963" spans="23:23" ht="24" customHeight="1">
      <c r="W5963" s="744"/>
    </row>
    <row r="5964" spans="23:23" ht="24" customHeight="1">
      <c r="W5964" s="744"/>
    </row>
    <row r="5965" spans="23:23" ht="24" customHeight="1">
      <c r="W5965" s="744"/>
    </row>
    <row r="5966" spans="23:23" ht="24" customHeight="1">
      <c r="W5966" s="744"/>
    </row>
    <row r="5967" spans="23:23" ht="24" customHeight="1">
      <c r="W5967" s="744"/>
    </row>
    <row r="5968" spans="23:23" ht="24" customHeight="1">
      <c r="W5968" s="744"/>
    </row>
    <row r="5969" spans="23:23" ht="24" customHeight="1">
      <c r="W5969" s="744"/>
    </row>
    <row r="5970" spans="23:23" ht="24" customHeight="1">
      <c r="W5970" s="744"/>
    </row>
    <row r="5971" spans="23:23" ht="24" customHeight="1">
      <c r="W5971" s="744"/>
    </row>
    <row r="5972" spans="23:23" ht="24" customHeight="1">
      <c r="W5972" s="744"/>
    </row>
    <row r="5973" spans="23:23" ht="24" customHeight="1">
      <c r="W5973" s="744"/>
    </row>
    <row r="5974" spans="23:23" ht="24" customHeight="1">
      <c r="W5974" s="744"/>
    </row>
    <row r="5975" spans="23:23" ht="24" customHeight="1">
      <c r="W5975" s="744"/>
    </row>
    <row r="5976" spans="23:23" ht="24" customHeight="1">
      <c r="W5976" s="744"/>
    </row>
    <row r="5977" spans="23:23" ht="24" customHeight="1">
      <c r="W5977" s="744"/>
    </row>
    <row r="5978" spans="23:23" ht="24" customHeight="1">
      <c r="W5978" s="744"/>
    </row>
    <row r="5979" spans="23:23" ht="24" customHeight="1">
      <c r="W5979" s="744"/>
    </row>
    <row r="5980" spans="23:23" ht="24" customHeight="1">
      <c r="W5980" s="744"/>
    </row>
    <row r="5981" spans="23:23" ht="24" customHeight="1">
      <c r="W5981" s="744"/>
    </row>
    <row r="5982" spans="23:23" ht="24" customHeight="1">
      <c r="W5982" s="744"/>
    </row>
    <row r="5983" spans="23:23" ht="24" customHeight="1">
      <c r="W5983" s="744"/>
    </row>
    <row r="5984" spans="23:23" ht="24" customHeight="1">
      <c r="W5984" s="744"/>
    </row>
    <row r="5985" spans="23:23" ht="24" customHeight="1">
      <c r="W5985" s="744"/>
    </row>
    <row r="5986" spans="23:23" ht="24" customHeight="1">
      <c r="W5986" s="744"/>
    </row>
    <row r="5987" spans="23:23" ht="24" customHeight="1">
      <c r="W5987" s="744"/>
    </row>
    <row r="5988" spans="23:23" ht="24" customHeight="1">
      <c r="W5988" s="744"/>
    </row>
    <row r="5989" spans="23:23" ht="24" customHeight="1">
      <c r="W5989" s="744"/>
    </row>
    <row r="5990" spans="23:23" ht="24" customHeight="1">
      <c r="W5990" s="744"/>
    </row>
    <row r="5991" spans="23:23" ht="24" customHeight="1">
      <c r="W5991" s="744"/>
    </row>
    <row r="5992" spans="23:23" ht="24" customHeight="1">
      <c r="W5992" s="744"/>
    </row>
    <row r="5993" spans="23:23" ht="24" customHeight="1">
      <c r="W5993" s="744"/>
    </row>
    <row r="5994" spans="23:23" ht="24" customHeight="1">
      <c r="W5994" s="744"/>
    </row>
    <row r="5995" spans="23:23" ht="24" customHeight="1">
      <c r="W5995" s="744"/>
    </row>
    <row r="5996" spans="23:23" ht="24" customHeight="1">
      <c r="W5996" s="744"/>
    </row>
    <row r="5997" spans="23:23" ht="24" customHeight="1">
      <c r="W5997" s="744"/>
    </row>
    <row r="5998" spans="23:23" ht="24" customHeight="1">
      <c r="W5998" s="744"/>
    </row>
    <row r="5999" spans="23:23" ht="24" customHeight="1">
      <c r="W5999" s="744"/>
    </row>
    <row r="6000" spans="23:23" ht="24" customHeight="1">
      <c r="W6000" s="744"/>
    </row>
    <row r="6001" spans="23:23" ht="24" customHeight="1">
      <c r="W6001" s="744"/>
    </row>
    <row r="6002" spans="23:23" ht="24" customHeight="1">
      <c r="W6002" s="744"/>
    </row>
    <row r="6003" spans="23:23" ht="24" customHeight="1">
      <c r="W6003" s="744"/>
    </row>
    <row r="6004" spans="23:23" ht="24" customHeight="1">
      <c r="W6004" s="744"/>
    </row>
    <row r="6005" spans="23:23" ht="24" customHeight="1">
      <c r="W6005" s="744"/>
    </row>
    <row r="6006" spans="23:23" ht="24" customHeight="1">
      <c r="W6006" s="744"/>
    </row>
    <row r="6007" spans="23:23" ht="24" customHeight="1">
      <c r="W6007" s="744"/>
    </row>
    <row r="6008" spans="23:23" ht="24" customHeight="1">
      <c r="W6008" s="744"/>
    </row>
    <row r="6009" spans="23:23" ht="24" customHeight="1">
      <c r="W6009" s="744"/>
    </row>
    <row r="6010" spans="23:23" ht="24" customHeight="1">
      <c r="W6010" s="744"/>
    </row>
    <row r="6011" spans="23:23" ht="24" customHeight="1">
      <c r="W6011" s="744"/>
    </row>
    <row r="6012" spans="23:23" ht="24" customHeight="1">
      <c r="W6012" s="744"/>
    </row>
    <row r="6013" spans="23:23" ht="24" customHeight="1">
      <c r="W6013" s="744"/>
    </row>
    <row r="6014" spans="23:23" ht="24" customHeight="1">
      <c r="W6014" s="744"/>
    </row>
    <row r="6015" spans="23:23" ht="24" customHeight="1">
      <c r="W6015" s="744"/>
    </row>
    <row r="6016" spans="23:23" ht="24" customHeight="1">
      <c r="W6016" s="744"/>
    </row>
    <row r="6017" spans="23:23" ht="24" customHeight="1">
      <c r="W6017" s="744"/>
    </row>
    <row r="6018" spans="23:23" ht="24" customHeight="1">
      <c r="W6018" s="744"/>
    </row>
    <row r="6019" spans="23:23" ht="24" customHeight="1">
      <c r="W6019" s="744"/>
    </row>
    <row r="6020" spans="23:23" ht="24" customHeight="1">
      <c r="W6020" s="744"/>
    </row>
    <row r="6021" spans="23:23" ht="24" customHeight="1">
      <c r="W6021" s="744"/>
    </row>
    <row r="6022" spans="23:23" ht="24" customHeight="1">
      <c r="W6022" s="744"/>
    </row>
    <row r="6023" spans="23:23" ht="24" customHeight="1">
      <c r="W6023" s="744"/>
    </row>
    <row r="6024" spans="23:23" ht="24" customHeight="1">
      <c r="W6024" s="744"/>
    </row>
    <row r="6025" spans="23:23" ht="24" customHeight="1">
      <c r="W6025" s="744"/>
    </row>
    <row r="6026" spans="23:23" ht="24" customHeight="1">
      <c r="W6026" s="744"/>
    </row>
    <row r="6027" spans="23:23" ht="24" customHeight="1">
      <c r="W6027" s="744"/>
    </row>
    <row r="6028" spans="23:23" ht="24" customHeight="1">
      <c r="W6028" s="744"/>
    </row>
    <row r="6029" spans="23:23" ht="24" customHeight="1">
      <c r="W6029" s="744"/>
    </row>
    <row r="6030" spans="23:23" ht="24" customHeight="1">
      <c r="W6030" s="744"/>
    </row>
    <row r="6031" spans="23:23" ht="24" customHeight="1">
      <c r="W6031" s="744"/>
    </row>
    <row r="6032" spans="23:23" ht="24" customHeight="1">
      <c r="W6032" s="744"/>
    </row>
    <row r="6033" spans="23:23" ht="24" customHeight="1">
      <c r="W6033" s="744"/>
    </row>
    <row r="6034" spans="23:23" ht="24" customHeight="1">
      <c r="W6034" s="744"/>
    </row>
    <row r="6035" spans="23:23" ht="24" customHeight="1">
      <c r="W6035" s="744"/>
    </row>
    <row r="6036" spans="23:23" ht="24" customHeight="1">
      <c r="W6036" s="744"/>
    </row>
    <row r="6037" spans="23:23" ht="24" customHeight="1">
      <c r="W6037" s="744"/>
    </row>
    <row r="6038" spans="23:23" ht="24" customHeight="1">
      <c r="W6038" s="744"/>
    </row>
    <row r="6039" spans="23:23" ht="24" customHeight="1">
      <c r="W6039" s="744"/>
    </row>
    <row r="6040" spans="23:23" ht="24" customHeight="1">
      <c r="W6040" s="744"/>
    </row>
    <row r="6041" spans="23:23" ht="24" customHeight="1">
      <c r="W6041" s="744"/>
    </row>
    <row r="6042" spans="23:23" ht="24" customHeight="1">
      <c r="W6042" s="744"/>
    </row>
    <row r="6043" spans="23:23" ht="24" customHeight="1">
      <c r="W6043" s="744"/>
    </row>
    <row r="6044" spans="23:23" ht="24" customHeight="1">
      <c r="W6044" s="744"/>
    </row>
    <row r="6045" spans="23:23" ht="24" customHeight="1">
      <c r="W6045" s="744"/>
    </row>
    <row r="6046" spans="23:23" ht="24" customHeight="1">
      <c r="W6046" s="744"/>
    </row>
    <row r="6047" spans="23:23" ht="24" customHeight="1">
      <c r="W6047" s="744"/>
    </row>
    <row r="6048" spans="23:23" ht="24" customHeight="1">
      <c r="W6048" s="744"/>
    </row>
    <row r="6049" spans="23:23" ht="24" customHeight="1">
      <c r="W6049" s="744"/>
    </row>
    <row r="6050" spans="23:23" ht="24" customHeight="1">
      <c r="W6050" s="744"/>
    </row>
    <row r="6051" spans="23:23" ht="24" customHeight="1">
      <c r="W6051" s="744"/>
    </row>
    <row r="6052" spans="23:23" ht="24" customHeight="1">
      <c r="W6052" s="744"/>
    </row>
    <row r="6053" spans="23:23" ht="24" customHeight="1">
      <c r="W6053" s="744"/>
    </row>
    <row r="6054" spans="23:23" ht="24" customHeight="1">
      <c r="W6054" s="744"/>
    </row>
    <row r="6055" spans="23:23" ht="24" customHeight="1">
      <c r="W6055" s="744"/>
    </row>
    <row r="6056" spans="23:23" ht="24" customHeight="1">
      <c r="W6056" s="744"/>
    </row>
    <row r="6057" spans="23:23" ht="24" customHeight="1">
      <c r="W6057" s="744"/>
    </row>
    <row r="6058" spans="23:23" ht="24" customHeight="1">
      <c r="W6058" s="744"/>
    </row>
    <row r="6059" spans="23:23" ht="24" customHeight="1">
      <c r="W6059" s="744"/>
    </row>
    <row r="6060" spans="23:23" ht="24" customHeight="1">
      <c r="W6060" s="744"/>
    </row>
    <row r="6061" spans="23:23" ht="24" customHeight="1">
      <c r="W6061" s="744"/>
    </row>
    <row r="6062" spans="23:23" ht="24" customHeight="1">
      <c r="W6062" s="744"/>
    </row>
    <row r="6063" spans="23:23" ht="24" customHeight="1">
      <c r="W6063" s="744"/>
    </row>
    <row r="6064" spans="23:23" ht="24" customHeight="1">
      <c r="W6064" s="744"/>
    </row>
    <row r="6065" spans="23:23" ht="24" customHeight="1">
      <c r="W6065" s="744"/>
    </row>
    <row r="6066" spans="23:23" ht="24" customHeight="1">
      <c r="W6066" s="744"/>
    </row>
    <row r="6067" spans="23:23" ht="24" customHeight="1">
      <c r="W6067" s="744"/>
    </row>
    <row r="6068" spans="23:23" ht="24" customHeight="1">
      <c r="W6068" s="744"/>
    </row>
    <row r="6069" spans="23:23" ht="24" customHeight="1">
      <c r="W6069" s="744"/>
    </row>
    <row r="6070" spans="23:23" ht="24" customHeight="1">
      <c r="W6070" s="744"/>
    </row>
    <row r="6071" spans="23:23" ht="24" customHeight="1">
      <c r="W6071" s="744"/>
    </row>
    <row r="6072" spans="23:23" ht="24" customHeight="1">
      <c r="W6072" s="744"/>
    </row>
    <row r="6073" spans="23:23" ht="24" customHeight="1">
      <c r="W6073" s="744"/>
    </row>
    <row r="6074" spans="23:23" ht="24" customHeight="1">
      <c r="W6074" s="744"/>
    </row>
    <row r="6075" spans="23:23" ht="24" customHeight="1">
      <c r="W6075" s="744"/>
    </row>
    <row r="6076" spans="23:23" ht="24" customHeight="1">
      <c r="W6076" s="744"/>
    </row>
    <row r="6077" spans="23:23" ht="24" customHeight="1">
      <c r="W6077" s="744"/>
    </row>
    <row r="6078" spans="23:23" ht="24" customHeight="1">
      <c r="W6078" s="744"/>
    </row>
    <row r="6079" spans="23:23" ht="24" customHeight="1">
      <c r="W6079" s="744"/>
    </row>
    <row r="6080" spans="23:23" ht="24" customHeight="1">
      <c r="W6080" s="744"/>
    </row>
    <row r="6081" spans="23:23" ht="24" customHeight="1">
      <c r="W6081" s="744"/>
    </row>
    <row r="6082" spans="23:23" ht="24" customHeight="1">
      <c r="W6082" s="744"/>
    </row>
    <row r="6083" spans="23:23" ht="24" customHeight="1">
      <c r="W6083" s="744"/>
    </row>
    <row r="6084" spans="23:23" ht="24" customHeight="1">
      <c r="W6084" s="744"/>
    </row>
    <row r="6085" spans="23:23" ht="24" customHeight="1">
      <c r="W6085" s="744"/>
    </row>
    <row r="6086" spans="23:23" ht="24" customHeight="1">
      <c r="W6086" s="744"/>
    </row>
    <row r="6087" spans="23:23" ht="24" customHeight="1">
      <c r="W6087" s="744"/>
    </row>
    <row r="6088" spans="23:23" ht="24" customHeight="1">
      <c r="W6088" s="744"/>
    </row>
    <row r="6089" spans="23:23" ht="24" customHeight="1">
      <c r="W6089" s="744"/>
    </row>
    <row r="6090" spans="23:23" ht="24" customHeight="1">
      <c r="W6090" s="744"/>
    </row>
    <row r="6091" spans="23:23" ht="24" customHeight="1">
      <c r="W6091" s="744"/>
    </row>
    <row r="6092" spans="23:23" ht="24" customHeight="1">
      <c r="W6092" s="744"/>
    </row>
    <row r="6093" spans="23:23" ht="24" customHeight="1">
      <c r="W6093" s="744"/>
    </row>
    <row r="6094" spans="23:23" ht="24" customHeight="1">
      <c r="W6094" s="744"/>
    </row>
    <row r="6095" spans="23:23" ht="24" customHeight="1">
      <c r="W6095" s="744"/>
    </row>
    <row r="6096" spans="23:23" ht="24" customHeight="1">
      <c r="W6096" s="744"/>
    </row>
    <row r="6097" spans="23:23" ht="24" customHeight="1">
      <c r="W6097" s="744"/>
    </row>
    <row r="6098" spans="23:23" ht="24" customHeight="1">
      <c r="W6098" s="744"/>
    </row>
    <row r="6099" spans="23:23" ht="24" customHeight="1">
      <c r="W6099" s="744"/>
    </row>
    <row r="6100" spans="23:23" ht="24" customHeight="1">
      <c r="W6100" s="744"/>
    </row>
    <row r="6101" spans="23:23" ht="24" customHeight="1">
      <c r="W6101" s="744"/>
    </row>
    <row r="6102" spans="23:23" ht="24" customHeight="1">
      <c r="W6102" s="744"/>
    </row>
    <row r="6103" spans="23:23" ht="24" customHeight="1">
      <c r="W6103" s="744"/>
    </row>
    <row r="6104" spans="23:23" ht="24" customHeight="1">
      <c r="W6104" s="744"/>
    </row>
    <row r="6105" spans="23:23" ht="24" customHeight="1">
      <c r="W6105" s="744"/>
    </row>
    <row r="6106" spans="23:23" ht="24" customHeight="1">
      <c r="W6106" s="744"/>
    </row>
    <row r="6107" spans="23:23" ht="24" customHeight="1">
      <c r="W6107" s="744"/>
    </row>
    <row r="6108" spans="23:23" ht="24" customHeight="1">
      <c r="W6108" s="744"/>
    </row>
    <row r="6109" spans="23:23" ht="24" customHeight="1">
      <c r="W6109" s="744"/>
    </row>
    <row r="6110" spans="23:23" ht="24" customHeight="1">
      <c r="W6110" s="744"/>
    </row>
    <row r="6111" spans="23:23" ht="24" customHeight="1">
      <c r="W6111" s="744"/>
    </row>
    <row r="6112" spans="23:23" ht="24" customHeight="1">
      <c r="W6112" s="744"/>
    </row>
    <row r="6113" spans="23:23" ht="24" customHeight="1">
      <c r="W6113" s="744"/>
    </row>
    <row r="6114" spans="23:23" ht="24" customHeight="1">
      <c r="W6114" s="744"/>
    </row>
    <row r="6115" spans="23:23" ht="24" customHeight="1">
      <c r="W6115" s="744"/>
    </row>
    <row r="6116" spans="23:23" ht="24" customHeight="1">
      <c r="W6116" s="744"/>
    </row>
    <row r="6117" spans="23:23" ht="24" customHeight="1">
      <c r="W6117" s="744"/>
    </row>
    <row r="6118" spans="23:23" ht="24" customHeight="1">
      <c r="W6118" s="744"/>
    </row>
    <row r="6119" spans="23:23" ht="24" customHeight="1">
      <c r="W6119" s="744"/>
    </row>
    <row r="6120" spans="23:23" ht="24" customHeight="1">
      <c r="W6120" s="744"/>
    </row>
    <row r="6121" spans="23:23" ht="24" customHeight="1">
      <c r="W6121" s="744"/>
    </row>
    <row r="6122" spans="23:23" ht="24" customHeight="1">
      <c r="W6122" s="744"/>
    </row>
    <row r="6123" spans="23:23" ht="24" customHeight="1">
      <c r="W6123" s="744"/>
    </row>
    <row r="6124" spans="23:23" ht="24" customHeight="1">
      <c r="W6124" s="744"/>
    </row>
    <row r="6125" spans="23:23" ht="24" customHeight="1">
      <c r="W6125" s="744"/>
    </row>
    <row r="6126" spans="23:23" ht="24" customHeight="1">
      <c r="W6126" s="744"/>
    </row>
    <row r="6127" spans="23:23" ht="24" customHeight="1">
      <c r="W6127" s="744"/>
    </row>
    <row r="6128" spans="23:23" ht="24" customHeight="1">
      <c r="W6128" s="744"/>
    </row>
    <row r="6129" spans="23:23" ht="24" customHeight="1">
      <c r="W6129" s="744"/>
    </row>
    <row r="6130" spans="23:23" ht="24" customHeight="1">
      <c r="W6130" s="744"/>
    </row>
    <row r="6131" spans="23:23" ht="24" customHeight="1">
      <c r="W6131" s="744"/>
    </row>
    <row r="6132" spans="23:23" ht="24" customHeight="1">
      <c r="W6132" s="744"/>
    </row>
    <row r="6133" spans="23:23" ht="24" customHeight="1">
      <c r="W6133" s="744"/>
    </row>
    <row r="6134" spans="23:23" ht="24" customHeight="1">
      <c r="W6134" s="744"/>
    </row>
    <row r="6135" spans="23:23" ht="24" customHeight="1">
      <c r="W6135" s="744"/>
    </row>
    <row r="6136" spans="23:23" ht="24" customHeight="1">
      <c r="W6136" s="744"/>
    </row>
    <row r="6137" spans="23:23" ht="24" customHeight="1">
      <c r="W6137" s="744"/>
    </row>
    <row r="6138" spans="23:23" ht="24" customHeight="1">
      <c r="W6138" s="744"/>
    </row>
    <row r="6139" spans="23:23" ht="24" customHeight="1">
      <c r="W6139" s="744"/>
    </row>
    <row r="6140" spans="23:23" ht="24" customHeight="1">
      <c r="W6140" s="744"/>
    </row>
    <row r="6141" spans="23:23" ht="24" customHeight="1">
      <c r="W6141" s="744"/>
    </row>
    <row r="6142" spans="23:23" ht="24" customHeight="1">
      <c r="W6142" s="744"/>
    </row>
    <row r="6143" spans="23:23" ht="24" customHeight="1">
      <c r="W6143" s="744"/>
    </row>
    <row r="6144" spans="23:23" ht="24" customHeight="1">
      <c r="W6144" s="744"/>
    </row>
    <row r="6145" spans="23:23" ht="24" customHeight="1">
      <c r="W6145" s="744"/>
    </row>
    <row r="6146" spans="23:23" ht="24" customHeight="1">
      <c r="W6146" s="744"/>
    </row>
    <row r="6147" spans="23:23" ht="24" customHeight="1">
      <c r="W6147" s="744"/>
    </row>
    <row r="6148" spans="23:23" ht="24" customHeight="1">
      <c r="W6148" s="744"/>
    </row>
    <row r="6149" spans="23:23" ht="24" customHeight="1">
      <c r="W6149" s="744"/>
    </row>
    <row r="6150" spans="23:23" ht="24" customHeight="1">
      <c r="W6150" s="744"/>
    </row>
    <row r="6151" spans="23:23" ht="24" customHeight="1">
      <c r="W6151" s="744"/>
    </row>
    <row r="6152" spans="23:23" ht="24" customHeight="1">
      <c r="W6152" s="744"/>
    </row>
    <row r="6153" spans="23:23" ht="24" customHeight="1">
      <c r="W6153" s="744"/>
    </row>
    <row r="6154" spans="23:23" ht="24" customHeight="1">
      <c r="W6154" s="744"/>
    </row>
    <row r="6155" spans="23:23" ht="24" customHeight="1">
      <c r="W6155" s="744"/>
    </row>
    <row r="6156" spans="23:23" ht="24" customHeight="1">
      <c r="W6156" s="744"/>
    </row>
    <row r="6157" spans="23:23" ht="24" customHeight="1">
      <c r="W6157" s="744"/>
    </row>
    <row r="6158" spans="23:23" ht="24" customHeight="1">
      <c r="W6158" s="744"/>
    </row>
    <row r="6159" spans="23:23" ht="24" customHeight="1">
      <c r="W6159" s="744"/>
    </row>
    <row r="6160" spans="23:23" ht="24" customHeight="1">
      <c r="W6160" s="744"/>
    </row>
    <row r="6161" spans="23:23" ht="24" customHeight="1">
      <c r="W6161" s="744"/>
    </row>
    <row r="6162" spans="23:23" ht="24" customHeight="1">
      <c r="W6162" s="744"/>
    </row>
    <row r="6163" spans="23:23" ht="24" customHeight="1">
      <c r="W6163" s="744"/>
    </row>
    <row r="6164" spans="23:23" ht="24" customHeight="1">
      <c r="W6164" s="744"/>
    </row>
    <row r="6165" spans="23:23" ht="24" customHeight="1">
      <c r="W6165" s="744"/>
    </row>
    <row r="6166" spans="23:23" ht="24" customHeight="1">
      <c r="W6166" s="744"/>
    </row>
    <row r="6167" spans="23:23" ht="24" customHeight="1">
      <c r="W6167" s="744"/>
    </row>
    <row r="6168" spans="23:23" ht="24" customHeight="1">
      <c r="W6168" s="744"/>
    </row>
    <row r="6169" spans="23:23" ht="24" customHeight="1">
      <c r="W6169" s="744"/>
    </row>
    <row r="6170" spans="23:23" ht="24" customHeight="1">
      <c r="W6170" s="744"/>
    </row>
    <row r="6171" spans="23:23" ht="24" customHeight="1">
      <c r="W6171" s="744"/>
    </row>
    <row r="6172" spans="23:23" ht="24" customHeight="1">
      <c r="W6172" s="744"/>
    </row>
    <row r="6173" spans="23:23" ht="24" customHeight="1">
      <c r="W6173" s="744"/>
    </row>
    <row r="6174" spans="23:23" ht="24" customHeight="1">
      <c r="W6174" s="744"/>
    </row>
    <row r="6175" spans="23:23" ht="24" customHeight="1">
      <c r="W6175" s="744"/>
    </row>
    <row r="6176" spans="23:23" ht="24" customHeight="1">
      <c r="W6176" s="744"/>
    </row>
    <row r="6177" spans="23:23" ht="24" customHeight="1">
      <c r="W6177" s="744"/>
    </row>
    <row r="6178" spans="23:23" ht="24" customHeight="1">
      <c r="W6178" s="744"/>
    </row>
    <row r="6179" spans="23:23" ht="24" customHeight="1">
      <c r="W6179" s="744"/>
    </row>
    <row r="6180" spans="23:23" ht="24" customHeight="1">
      <c r="W6180" s="744"/>
    </row>
    <row r="6181" spans="23:23" ht="24" customHeight="1">
      <c r="W6181" s="744"/>
    </row>
    <row r="6182" spans="23:23" ht="24" customHeight="1">
      <c r="W6182" s="744"/>
    </row>
    <row r="6183" spans="23:23" ht="24" customHeight="1">
      <c r="W6183" s="744"/>
    </row>
    <row r="6184" spans="23:23" ht="24" customHeight="1">
      <c r="W6184" s="744"/>
    </row>
    <row r="6185" spans="23:23" ht="24" customHeight="1">
      <c r="W6185" s="744"/>
    </row>
    <row r="6186" spans="23:23" ht="24" customHeight="1">
      <c r="W6186" s="744"/>
    </row>
    <row r="6187" spans="23:23" ht="24" customHeight="1">
      <c r="W6187" s="744"/>
    </row>
    <row r="6188" spans="23:23" ht="24" customHeight="1">
      <c r="W6188" s="744"/>
    </row>
    <row r="6189" spans="23:23" ht="24" customHeight="1">
      <c r="W6189" s="744"/>
    </row>
    <row r="6190" spans="23:23" ht="24" customHeight="1">
      <c r="W6190" s="744"/>
    </row>
    <row r="6191" spans="23:23" ht="24" customHeight="1">
      <c r="W6191" s="744"/>
    </row>
    <row r="6192" spans="23:23" ht="24" customHeight="1">
      <c r="W6192" s="744"/>
    </row>
    <row r="6193" spans="23:23" ht="24" customHeight="1">
      <c r="W6193" s="744"/>
    </row>
    <row r="6194" spans="23:23" ht="24" customHeight="1">
      <c r="W6194" s="744"/>
    </row>
    <row r="6195" spans="23:23" ht="24" customHeight="1">
      <c r="W6195" s="744"/>
    </row>
    <row r="6196" spans="23:23" ht="24" customHeight="1">
      <c r="W6196" s="744"/>
    </row>
    <row r="6197" spans="23:23" ht="24" customHeight="1">
      <c r="W6197" s="744"/>
    </row>
    <row r="6198" spans="23:23" ht="24" customHeight="1">
      <c r="W6198" s="744"/>
    </row>
    <row r="6199" spans="23:23" ht="24" customHeight="1">
      <c r="W6199" s="744"/>
    </row>
    <row r="6200" spans="23:23" ht="24" customHeight="1">
      <c r="W6200" s="744"/>
    </row>
    <row r="6201" spans="23:23" ht="24" customHeight="1">
      <c r="W6201" s="744"/>
    </row>
    <row r="6202" spans="23:23" ht="24" customHeight="1">
      <c r="W6202" s="744"/>
    </row>
    <row r="6203" spans="23:23" ht="24" customHeight="1">
      <c r="W6203" s="744"/>
    </row>
    <row r="6204" spans="23:23" ht="24" customHeight="1">
      <c r="W6204" s="744"/>
    </row>
    <row r="6205" spans="23:23" ht="24" customHeight="1">
      <c r="W6205" s="744"/>
    </row>
    <row r="6206" spans="23:23" ht="24" customHeight="1">
      <c r="W6206" s="744"/>
    </row>
    <row r="6207" spans="23:23" ht="24" customHeight="1">
      <c r="W6207" s="744"/>
    </row>
    <row r="6208" spans="23:23" ht="24" customHeight="1">
      <c r="W6208" s="744"/>
    </row>
    <row r="6209" spans="23:23" ht="24" customHeight="1">
      <c r="W6209" s="744"/>
    </row>
    <row r="6210" spans="23:23" ht="24" customHeight="1">
      <c r="W6210" s="744"/>
    </row>
    <row r="6211" spans="23:23" ht="24" customHeight="1">
      <c r="W6211" s="744"/>
    </row>
    <row r="6212" spans="23:23" ht="24" customHeight="1">
      <c r="W6212" s="744"/>
    </row>
    <row r="6213" spans="23:23" ht="24" customHeight="1">
      <c r="W6213" s="744"/>
    </row>
    <row r="6214" spans="23:23" ht="24" customHeight="1">
      <c r="W6214" s="744"/>
    </row>
    <row r="6215" spans="23:23" ht="24" customHeight="1">
      <c r="W6215" s="744"/>
    </row>
    <row r="6216" spans="23:23" ht="24" customHeight="1">
      <c r="W6216" s="744"/>
    </row>
    <row r="6217" spans="23:23" ht="24" customHeight="1">
      <c r="W6217" s="744"/>
    </row>
    <row r="6218" spans="23:23" ht="24" customHeight="1">
      <c r="W6218" s="744"/>
    </row>
    <row r="6219" spans="23:23" ht="24" customHeight="1">
      <c r="W6219" s="744"/>
    </row>
    <row r="6220" spans="23:23" ht="24" customHeight="1">
      <c r="W6220" s="744"/>
    </row>
    <row r="6221" spans="23:23" ht="24" customHeight="1">
      <c r="W6221" s="744"/>
    </row>
    <row r="6222" spans="23:23" ht="24" customHeight="1">
      <c r="W6222" s="744"/>
    </row>
    <row r="6223" spans="23:23" ht="24" customHeight="1">
      <c r="W6223" s="744"/>
    </row>
    <row r="6224" spans="23:23" ht="24" customHeight="1">
      <c r="W6224" s="744"/>
    </row>
    <row r="6225" spans="23:23" ht="24" customHeight="1">
      <c r="W6225" s="744"/>
    </row>
    <row r="6226" spans="23:23" ht="24" customHeight="1">
      <c r="W6226" s="744"/>
    </row>
    <row r="6227" spans="23:23" ht="24" customHeight="1">
      <c r="W6227" s="744"/>
    </row>
    <row r="6228" spans="23:23" ht="24" customHeight="1">
      <c r="W6228" s="744"/>
    </row>
    <row r="6229" spans="23:23" ht="24" customHeight="1">
      <c r="W6229" s="744"/>
    </row>
    <row r="6230" spans="23:23" ht="24" customHeight="1">
      <c r="W6230" s="744"/>
    </row>
    <row r="6231" spans="23:23" ht="24" customHeight="1">
      <c r="W6231" s="744"/>
    </row>
    <row r="6232" spans="23:23" ht="24" customHeight="1">
      <c r="W6232" s="744"/>
    </row>
    <row r="6233" spans="23:23" ht="24" customHeight="1">
      <c r="W6233" s="744"/>
    </row>
    <row r="6234" spans="23:23" ht="24" customHeight="1">
      <c r="W6234" s="744"/>
    </row>
    <row r="6235" spans="23:23" ht="24" customHeight="1">
      <c r="W6235" s="744"/>
    </row>
    <row r="6236" spans="23:23" ht="24" customHeight="1">
      <c r="W6236" s="744"/>
    </row>
    <row r="6237" spans="23:23" ht="24" customHeight="1">
      <c r="W6237" s="744"/>
    </row>
    <row r="6238" spans="23:23" ht="24" customHeight="1">
      <c r="W6238" s="744"/>
    </row>
    <row r="6239" spans="23:23" ht="24" customHeight="1">
      <c r="W6239" s="744"/>
    </row>
    <row r="6240" spans="23:23" ht="24" customHeight="1">
      <c r="W6240" s="744"/>
    </row>
    <row r="6241" spans="23:23" ht="24" customHeight="1">
      <c r="W6241" s="744"/>
    </row>
    <row r="6242" spans="23:23" ht="24" customHeight="1">
      <c r="W6242" s="744"/>
    </row>
    <row r="6243" spans="23:23" ht="24" customHeight="1">
      <c r="W6243" s="744"/>
    </row>
    <row r="6244" spans="23:23" ht="24" customHeight="1">
      <c r="W6244" s="744"/>
    </row>
    <row r="6245" spans="23:23" ht="24" customHeight="1">
      <c r="W6245" s="744"/>
    </row>
    <row r="6246" spans="23:23" ht="24" customHeight="1">
      <c r="W6246" s="744"/>
    </row>
    <row r="6247" spans="23:23" ht="24" customHeight="1">
      <c r="W6247" s="744"/>
    </row>
    <row r="6248" spans="23:23" ht="24" customHeight="1">
      <c r="W6248" s="744"/>
    </row>
    <row r="6249" spans="23:23" ht="24" customHeight="1">
      <c r="W6249" s="744"/>
    </row>
    <row r="6250" spans="23:23" ht="24" customHeight="1">
      <c r="W6250" s="744"/>
    </row>
    <row r="6251" spans="23:23" ht="24" customHeight="1">
      <c r="W6251" s="744"/>
    </row>
    <row r="6252" spans="23:23" ht="24" customHeight="1">
      <c r="W6252" s="744"/>
    </row>
    <row r="6253" spans="23:23" ht="24" customHeight="1">
      <c r="W6253" s="744"/>
    </row>
    <row r="6254" spans="23:23" ht="24" customHeight="1">
      <c r="W6254" s="744"/>
    </row>
    <row r="6255" spans="23:23" ht="24" customHeight="1">
      <c r="W6255" s="744"/>
    </row>
    <row r="6256" spans="23:23" ht="24" customHeight="1">
      <c r="W6256" s="744"/>
    </row>
    <row r="6257" spans="23:23" ht="24" customHeight="1">
      <c r="W6257" s="744"/>
    </row>
    <row r="6258" spans="23:23" ht="24" customHeight="1">
      <c r="W6258" s="744"/>
    </row>
    <row r="6259" spans="23:23" ht="24" customHeight="1">
      <c r="W6259" s="744"/>
    </row>
    <row r="6260" spans="23:23" ht="24" customHeight="1">
      <c r="W6260" s="744"/>
    </row>
    <row r="6261" spans="23:23" ht="24" customHeight="1">
      <c r="W6261" s="744"/>
    </row>
    <row r="6262" spans="23:23" ht="24" customHeight="1">
      <c r="W6262" s="744"/>
    </row>
    <row r="6263" spans="23:23" ht="24" customHeight="1">
      <c r="W6263" s="744"/>
    </row>
    <row r="6264" spans="23:23" ht="24" customHeight="1">
      <c r="W6264" s="744"/>
    </row>
    <row r="6265" spans="23:23" ht="24" customHeight="1">
      <c r="W6265" s="744"/>
    </row>
    <row r="6266" spans="23:23" ht="24" customHeight="1">
      <c r="W6266" s="744"/>
    </row>
    <row r="6267" spans="23:23" ht="24" customHeight="1">
      <c r="W6267" s="744"/>
    </row>
    <row r="6268" spans="23:23" ht="24" customHeight="1">
      <c r="W6268" s="744"/>
    </row>
    <row r="6269" spans="23:23" ht="24" customHeight="1">
      <c r="W6269" s="744"/>
    </row>
    <row r="6270" spans="23:23" ht="24" customHeight="1">
      <c r="W6270" s="744"/>
    </row>
    <row r="6271" spans="23:23" ht="24" customHeight="1">
      <c r="W6271" s="744"/>
    </row>
    <row r="6272" spans="23:23" ht="24" customHeight="1">
      <c r="W6272" s="744"/>
    </row>
    <row r="6273" spans="23:23" ht="24" customHeight="1">
      <c r="W6273" s="744"/>
    </row>
    <row r="6274" spans="23:23" ht="24" customHeight="1">
      <c r="W6274" s="744"/>
    </row>
    <row r="6275" spans="23:23" ht="24" customHeight="1">
      <c r="W6275" s="744"/>
    </row>
    <row r="6276" spans="23:23" ht="24" customHeight="1">
      <c r="W6276" s="744"/>
    </row>
    <row r="6277" spans="23:23" ht="24" customHeight="1">
      <c r="W6277" s="744"/>
    </row>
    <row r="6278" spans="23:23" ht="24" customHeight="1">
      <c r="W6278" s="744"/>
    </row>
    <row r="6279" spans="23:23" ht="24" customHeight="1">
      <c r="W6279" s="744"/>
    </row>
    <row r="6280" spans="23:23" ht="24" customHeight="1">
      <c r="W6280" s="744"/>
    </row>
    <row r="6281" spans="23:23" ht="24" customHeight="1">
      <c r="W6281" s="744"/>
    </row>
    <row r="6282" spans="23:23" ht="24" customHeight="1">
      <c r="W6282" s="744"/>
    </row>
    <row r="6283" spans="23:23" ht="24" customHeight="1">
      <c r="W6283" s="744"/>
    </row>
    <row r="6284" spans="23:23" ht="24" customHeight="1">
      <c r="W6284" s="744"/>
    </row>
    <row r="6285" spans="23:23" ht="24" customHeight="1">
      <c r="W6285" s="744"/>
    </row>
    <row r="6286" spans="23:23" ht="24" customHeight="1">
      <c r="W6286" s="744"/>
    </row>
    <row r="6287" spans="23:23" ht="24" customHeight="1">
      <c r="W6287" s="744"/>
    </row>
    <row r="6288" spans="23:23" ht="24" customHeight="1">
      <c r="W6288" s="744"/>
    </row>
    <row r="6289" spans="23:23" ht="24" customHeight="1">
      <c r="W6289" s="744"/>
    </row>
    <row r="6290" spans="23:23" ht="24" customHeight="1">
      <c r="W6290" s="744"/>
    </row>
    <row r="6291" spans="23:23" ht="24" customHeight="1">
      <c r="W6291" s="744"/>
    </row>
    <row r="6292" spans="23:23" ht="24" customHeight="1">
      <c r="W6292" s="744"/>
    </row>
    <row r="6293" spans="23:23" ht="24" customHeight="1">
      <c r="W6293" s="744"/>
    </row>
    <row r="6294" spans="23:23" ht="24" customHeight="1">
      <c r="W6294" s="744"/>
    </row>
    <row r="6295" spans="23:23" ht="24" customHeight="1">
      <c r="W6295" s="744"/>
    </row>
    <row r="6296" spans="23:23" ht="24" customHeight="1">
      <c r="W6296" s="744"/>
    </row>
    <row r="6297" spans="23:23" ht="24" customHeight="1">
      <c r="W6297" s="744"/>
    </row>
    <row r="6298" spans="23:23" ht="24" customHeight="1">
      <c r="W6298" s="744"/>
    </row>
    <row r="6299" spans="23:23" ht="24" customHeight="1">
      <c r="W6299" s="744"/>
    </row>
    <row r="6300" spans="23:23" ht="24" customHeight="1">
      <c r="W6300" s="744"/>
    </row>
    <row r="6301" spans="23:23" ht="24" customHeight="1">
      <c r="W6301" s="744"/>
    </row>
    <row r="6302" spans="23:23" ht="24" customHeight="1">
      <c r="W6302" s="744"/>
    </row>
    <row r="6303" spans="23:23" ht="24" customHeight="1">
      <c r="W6303" s="744"/>
    </row>
    <row r="6304" spans="23:23" ht="24" customHeight="1">
      <c r="W6304" s="744"/>
    </row>
    <row r="6305" spans="23:23" ht="24" customHeight="1">
      <c r="W6305" s="744"/>
    </row>
    <row r="6306" spans="23:23" ht="24" customHeight="1">
      <c r="W6306" s="744"/>
    </row>
    <row r="6307" spans="23:23" ht="24" customHeight="1">
      <c r="W6307" s="744"/>
    </row>
    <row r="6308" spans="23:23" ht="24" customHeight="1">
      <c r="W6308" s="744"/>
    </row>
    <row r="6309" spans="23:23" ht="24" customHeight="1">
      <c r="W6309" s="744"/>
    </row>
    <row r="6310" spans="23:23" ht="24" customHeight="1">
      <c r="W6310" s="744"/>
    </row>
    <row r="6311" spans="23:23" ht="24" customHeight="1">
      <c r="W6311" s="744"/>
    </row>
    <row r="6312" spans="23:23" ht="24" customHeight="1">
      <c r="W6312" s="744"/>
    </row>
    <row r="6313" spans="23:23" ht="24" customHeight="1">
      <c r="W6313" s="744"/>
    </row>
    <row r="6314" spans="23:23" ht="24" customHeight="1">
      <c r="W6314" s="744"/>
    </row>
    <row r="6315" spans="23:23" ht="24" customHeight="1">
      <c r="W6315" s="744"/>
    </row>
    <row r="6316" spans="23:23" ht="24" customHeight="1">
      <c r="W6316" s="744"/>
    </row>
    <row r="6317" spans="23:23" ht="24" customHeight="1">
      <c r="W6317" s="744"/>
    </row>
    <row r="6318" spans="23:23" ht="24" customHeight="1">
      <c r="W6318" s="744"/>
    </row>
    <row r="6319" spans="23:23" ht="24" customHeight="1">
      <c r="W6319" s="744"/>
    </row>
    <row r="6320" spans="23:23" ht="24" customHeight="1">
      <c r="W6320" s="744"/>
    </row>
    <row r="6321" spans="23:23" ht="24" customHeight="1">
      <c r="W6321" s="744"/>
    </row>
    <row r="6322" spans="23:23" ht="24" customHeight="1">
      <c r="W6322" s="744"/>
    </row>
    <row r="6323" spans="23:23" ht="24" customHeight="1">
      <c r="W6323" s="744"/>
    </row>
    <row r="6324" spans="23:23" ht="24" customHeight="1">
      <c r="W6324" s="744"/>
    </row>
    <row r="6325" spans="23:23" ht="24" customHeight="1">
      <c r="W6325" s="744"/>
    </row>
    <row r="6326" spans="23:23" ht="24" customHeight="1">
      <c r="W6326" s="744"/>
    </row>
    <row r="6327" spans="23:23" ht="24" customHeight="1">
      <c r="W6327" s="744"/>
    </row>
    <row r="6328" spans="23:23" ht="24" customHeight="1">
      <c r="W6328" s="744"/>
    </row>
    <row r="6329" spans="23:23" ht="24" customHeight="1">
      <c r="W6329" s="744"/>
    </row>
    <row r="6330" spans="23:23" ht="24" customHeight="1">
      <c r="W6330" s="744"/>
    </row>
    <row r="6331" spans="23:23" ht="24" customHeight="1">
      <c r="W6331" s="744"/>
    </row>
    <row r="6332" spans="23:23" ht="24" customHeight="1">
      <c r="W6332" s="744"/>
    </row>
    <row r="6333" spans="23:23" ht="24" customHeight="1">
      <c r="W6333" s="744"/>
    </row>
    <row r="6334" spans="23:23" ht="24" customHeight="1">
      <c r="W6334" s="744"/>
    </row>
    <row r="6335" spans="23:23" ht="24" customHeight="1">
      <c r="W6335" s="744"/>
    </row>
    <row r="6336" spans="23:23" ht="24" customHeight="1">
      <c r="W6336" s="744"/>
    </row>
    <row r="6337" spans="23:23" ht="24" customHeight="1">
      <c r="W6337" s="744"/>
    </row>
    <row r="6338" spans="23:23" ht="24" customHeight="1">
      <c r="W6338" s="744"/>
    </row>
    <row r="6339" spans="23:23" ht="24" customHeight="1">
      <c r="W6339" s="744"/>
    </row>
    <row r="6340" spans="23:23" ht="24" customHeight="1">
      <c r="W6340" s="744"/>
    </row>
    <row r="6341" spans="23:23" ht="24" customHeight="1">
      <c r="W6341" s="744"/>
    </row>
    <row r="6342" spans="23:23" ht="24" customHeight="1">
      <c r="W6342" s="744"/>
    </row>
    <row r="6343" spans="23:23" ht="24" customHeight="1">
      <c r="W6343" s="744"/>
    </row>
    <row r="6344" spans="23:23" ht="24" customHeight="1">
      <c r="W6344" s="744"/>
    </row>
    <row r="6345" spans="23:23" ht="24" customHeight="1">
      <c r="W6345" s="744"/>
    </row>
    <row r="6346" spans="23:23" ht="24" customHeight="1">
      <c r="W6346" s="744"/>
    </row>
    <row r="6347" spans="23:23" ht="24" customHeight="1">
      <c r="W6347" s="744"/>
    </row>
    <row r="6348" spans="23:23" ht="24" customHeight="1">
      <c r="W6348" s="744"/>
    </row>
    <row r="6349" spans="23:23" ht="24" customHeight="1">
      <c r="W6349" s="744"/>
    </row>
    <row r="6350" spans="23:23" ht="24" customHeight="1">
      <c r="W6350" s="744"/>
    </row>
    <row r="6351" spans="23:23" ht="24" customHeight="1">
      <c r="W6351" s="744"/>
    </row>
    <row r="6352" spans="23:23" ht="24" customHeight="1">
      <c r="W6352" s="744"/>
    </row>
    <row r="6353" spans="23:23" ht="24" customHeight="1">
      <c r="W6353" s="744"/>
    </row>
    <row r="6354" spans="23:23" ht="24" customHeight="1">
      <c r="W6354" s="744"/>
    </row>
    <row r="6355" spans="23:23" ht="24" customHeight="1">
      <c r="W6355" s="744"/>
    </row>
    <row r="6356" spans="23:23" ht="24" customHeight="1">
      <c r="W6356" s="744"/>
    </row>
    <row r="6357" spans="23:23" ht="24" customHeight="1">
      <c r="W6357" s="744"/>
    </row>
    <row r="6358" spans="23:23" ht="24" customHeight="1">
      <c r="W6358" s="744"/>
    </row>
    <row r="6359" spans="23:23" ht="24" customHeight="1">
      <c r="W6359" s="744"/>
    </row>
    <row r="6360" spans="23:23" ht="24" customHeight="1">
      <c r="W6360" s="744"/>
    </row>
    <row r="6361" spans="23:23" ht="24" customHeight="1">
      <c r="W6361" s="744"/>
    </row>
    <row r="6362" spans="23:23" ht="24" customHeight="1">
      <c r="W6362" s="744"/>
    </row>
    <row r="6363" spans="23:23" ht="24" customHeight="1">
      <c r="W6363" s="744"/>
    </row>
    <row r="6364" spans="23:23" ht="24" customHeight="1">
      <c r="W6364" s="744"/>
    </row>
    <row r="6365" spans="23:23" ht="24" customHeight="1">
      <c r="W6365" s="744"/>
    </row>
    <row r="6366" spans="23:23" ht="24" customHeight="1">
      <c r="W6366" s="744"/>
    </row>
    <row r="6367" spans="23:23" ht="24" customHeight="1">
      <c r="W6367" s="744"/>
    </row>
    <row r="6368" spans="23:23" ht="24" customHeight="1">
      <c r="W6368" s="744"/>
    </row>
    <row r="6369" spans="23:23" ht="24" customHeight="1">
      <c r="W6369" s="744"/>
    </row>
    <row r="6370" spans="23:23" ht="24" customHeight="1">
      <c r="W6370" s="744"/>
    </row>
    <row r="6371" spans="23:23" ht="24" customHeight="1">
      <c r="W6371" s="744"/>
    </row>
    <row r="6372" spans="23:23" ht="24" customHeight="1">
      <c r="W6372" s="744"/>
    </row>
    <row r="6373" spans="23:23" ht="24" customHeight="1">
      <c r="W6373" s="744"/>
    </row>
    <row r="6374" spans="23:23" ht="24" customHeight="1">
      <c r="W6374" s="744"/>
    </row>
    <row r="6375" spans="23:23" ht="24" customHeight="1">
      <c r="W6375" s="744"/>
    </row>
    <row r="6376" spans="23:23" ht="24" customHeight="1">
      <c r="W6376" s="744"/>
    </row>
    <row r="6377" spans="23:23" ht="24" customHeight="1">
      <c r="W6377" s="744"/>
    </row>
    <row r="6378" spans="23:23" ht="24" customHeight="1">
      <c r="W6378" s="744"/>
    </row>
    <row r="6379" spans="23:23" ht="24" customHeight="1">
      <c r="W6379" s="744"/>
    </row>
    <row r="6380" spans="23:23" ht="24" customHeight="1">
      <c r="W6380" s="744"/>
    </row>
    <row r="6381" spans="23:23" ht="24" customHeight="1">
      <c r="W6381" s="744"/>
    </row>
    <row r="6382" spans="23:23" ht="24" customHeight="1">
      <c r="W6382" s="744"/>
    </row>
    <row r="6383" spans="23:23" ht="24" customHeight="1">
      <c r="W6383" s="744"/>
    </row>
    <row r="6384" spans="23:23" ht="24" customHeight="1">
      <c r="W6384" s="744"/>
    </row>
    <row r="6385" spans="23:23" ht="24" customHeight="1">
      <c r="W6385" s="744"/>
    </row>
    <row r="6386" spans="23:23" ht="24" customHeight="1">
      <c r="W6386" s="744"/>
    </row>
    <row r="6387" spans="23:23" ht="24" customHeight="1">
      <c r="W6387" s="744"/>
    </row>
    <row r="6388" spans="23:23" ht="24" customHeight="1">
      <c r="W6388" s="744"/>
    </row>
    <row r="6389" spans="23:23" ht="24" customHeight="1">
      <c r="W6389" s="744"/>
    </row>
    <row r="6390" spans="23:23" ht="24" customHeight="1">
      <c r="W6390" s="744"/>
    </row>
    <row r="6391" spans="23:23" ht="24" customHeight="1">
      <c r="W6391" s="744"/>
    </row>
    <row r="6392" spans="23:23" ht="24" customHeight="1">
      <c r="W6392" s="744"/>
    </row>
    <row r="6393" spans="23:23" ht="24" customHeight="1">
      <c r="W6393" s="744"/>
    </row>
    <row r="6394" spans="23:23" ht="24" customHeight="1">
      <c r="W6394" s="744"/>
    </row>
    <row r="6395" spans="23:23" ht="24" customHeight="1">
      <c r="W6395" s="744"/>
    </row>
    <row r="6396" spans="23:23" ht="24" customHeight="1">
      <c r="W6396" s="744"/>
    </row>
    <row r="6397" spans="23:23" ht="24" customHeight="1">
      <c r="W6397" s="744"/>
    </row>
    <row r="6398" spans="23:23" ht="24" customHeight="1">
      <c r="W6398" s="744"/>
    </row>
    <row r="6399" spans="23:23" ht="24" customHeight="1">
      <c r="W6399" s="744"/>
    </row>
    <row r="6400" spans="23:23" ht="24" customHeight="1">
      <c r="W6400" s="744"/>
    </row>
    <row r="6401" spans="23:23" ht="24" customHeight="1">
      <c r="W6401" s="744"/>
    </row>
    <row r="6402" spans="23:23" ht="24" customHeight="1">
      <c r="W6402" s="744"/>
    </row>
    <row r="6403" spans="23:23" ht="24" customHeight="1">
      <c r="W6403" s="744"/>
    </row>
    <row r="6404" spans="23:23" ht="24" customHeight="1">
      <c r="W6404" s="744"/>
    </row>
    <row r="6405" spans="23:23" ht="24" customHeight="1">
      <c r="W6405" s="744"/>
    </row>
    <row r="6406" spans="23:23" ht="24" customHeight="1">
      <c r="W6406" s="744"/>
    </row>
    <row r="6407" spans="23:23" ht="24" customHeight="1">
      <c r="W6407" s="744"/>
    </row>
    <row r="6408" spans="23:23" ht="24" customHeight="1">
      <c r="W6408" s="744"/>
    </row>
    <row r="6409" spans="23:23" ht="24" customHeight="1">
      <c r="W6409" s="744"/>
    </row>
    <row r="6410" spans="23:23" ht="24" customHeight="1">
      <c r="W6410" s="744"/>
    </row>
    <row r="6411" spans="23:23" ht="24" customHeight="1">
      <c r="W6411" s="744"/>
    </row>
    <row r="6412" spans="23:23" ht="24" customHeight="1">
      <c r="W6412" s="744"/>
    </row>
    <row r="6413" spans="23:23" ht="24" customHeight="1">
      <c r="W6413" s="744"/>
    </row>
    <row r="6414" spans="23:23" ht="24" customHeight="1">
      <c r="W6414" s="744"/>
    </row>
    <row r="6415" spans="23:23" ht="24" customHeight="1">
      <c r="W6415" s="744"/>
    </row>
    <row r="6416" spans="23:23" ht="24" customHeight="1">
      <c r="W6416" s="744"/>
    </row>
    <row r="6417" spans="23:23" ht="24" customHeight="1">
      <c r="W6417" s="744"/>
    </row>
    <row r="6418" spans="23:23" ht="24" customHeight="1">
      <c r="W6418" s="744"/>
    </row>
    <row r="6419" spans="23:23" ht="24" customHeight="1">
      <c r="W6419" s="744"/>
    </row>
    <row r="6420" spans="23:23" ht="24" customHeight="1">
      <c r="W6420" s="744"/>
    </row>
    <row r="6421" spans="23:23" ht="24" customHeight="1">
      <c r="W6421" s="744"/>
    </row>
    <row r="6422" spans="23:23" ht="24" customHeight="1">
      <c r="W6422" s="744"/>
    </row>
    <row r="6423" spans="23:23" ht="24" customHeight="1">
      <c r="W6423" s="744"/>
    </row>
    <row r="6424" spans="23:23" ht="24" customHeight="1">
      <c r="W6424" s="744"/>
    </row>
    <row r="6425" spans="23:23" ht="24" customHeight="1">
      <c r="W6425" s="744"/>
    </row>
    <row r="6426" spans="23:23" ht="24" customHeight="1">
      <c r="W6426" s="744"/>
    </row>
    <row r="6427" spans="23:23" ht="24" customHeight="1">
      <c r="W6427" s="744"/>
    </row>
    <row r="6428" spans="23:23" ht="24" customHeight="1">
      <c r="W6428" s="744"/>
    </row>
    <row r="6429" spans="23:23" ht="24" customHeight="1">
      <c r="W6429" s="744"/>
    </row>
    <row r="6430" spans="23:23" ht="24" customHeight="1">
      <c r="W6430" s="744"/>
    </row>
    <row r="6431" spans="23:23" ht="24" customHeight="1">
      <c r="W6431" s="744"/>
    </row>
    <row r="6432" spans="23:23" ht="24" customHeight="1">
      <c r="W6432" s="744"/>
    </row>
    <row r="6433" spans="23:23" ht="24" customHeight="1">
      <c r="W6433" s="744"/>
    </row>
    <row r="6434" spans="23:23" ht="24" customHeight="1">
      <c r="W6434" s="744"/>
    </row>
    <row r="6435" spans="23:23" ht="24" customHeight="1">
      <c r="W6435" s="744"/>
    </row>
    <row r="6436" spans="23:23" ht="24" customHeight="1">
      <c r="W6436" s="744"/>
    </row>
    <row r="6437" spans="23:23" ht="24" customHeight="1">
      <c r="W6437" s="744"/>
    </row>
    <row r="6438" spans="23:23" ht="24" customHeight="1">
      <c r="W6438" s="744"/>
    </row>
    <row r="6439" spans="23:23" ht="24" customHeight="1">
      <c r="W6439" s="744"/>
    </row>
    <row r="6440" spans="23:23" ht="24" customHeight="1">
      <c r="W6440" s="744"/>
    </row>
    <row r="6441" spans="23:23" ht="24" customHeight="1">
      <c r="W6441" s="744"/>
    </row>
    <row r="6442" spans="23:23" ht="24" customHeight="1">
      <c r="W6442" s="744"/>
    </row>
    <row r="6443" spans="23:23" ht="24" customHeight="1">
      <c r="W6443" s="744"/>
    </row>
    <row r="6444" spans="23:23" ht="24" customHeight="1">
      <c r="W6444" s="744"/>
    </row>
    <row r="6445" spans="23:23" ht="24" customHeight="1">
      <c r="W6445" s="744"/>
    </row>
    <row r="6446" spans="23:23" ht="24" customHeight="1">
      <c r="W6446" s="744"/>
    </row>
    <row r="6447" spans="23:23" ht="24" customHeight="1">
      <c r="W6447" s="744"/>
    </row>
    <row r="6448" spans="23:23" ht="24" customHeight="1">
      <c r="W6448" s="744"/>
    </row>
    <row r="6449" spans="23:23" ht="24" customHeight="1">
      <c r="W6449" s="744"/>
    </row>
    <row r="6450" spans="23:23" ht="24" customHeight="1">
      <c r="W6450" s="744"/>
    </row>
    <row r="6451" spans="23:23" ht="24" customHeight="1">
      <c r="W6451" s="744"/>
    </row>
    <row r="6452" spans="23:23" ht="24" customHeight="1">
      <c r="W6452" s="744"/>
    </row>
    <row r="6453" spans="23:23" ht="24" customHeight="1">
      <c r="W6453" s="744"/>
    </row>
    <row r="6454" spans="23:23" ht="24" customHeight="1">
      <c r="W6454" s="744"/>
    </row>
    <row r="6455" spans="23:23" ht="24" customHeight="1">
      <c r="W6455" s="744"/>
    </row>
    <row r="6456" spans="23:23" ht="24" customHeight="1">
      <c r="W6456" s="744"/>
    </row>
    <row r="6457" spans="23:23" ht="24" customHeight="1">
      <c r="W6457" s="744"/>
    </row>
    <row r="6458" spans="23:23" ht="24" customHeight="1">
      <c r="W6458" s="744"/>
    </row>
    <row r="6459" spans="23:23" ht="24" customHeight="1">
      <c r="W6459" s="744"/>
    </row>
    <row r="6460" spans="23:23" ht="24" customHeight="1">
      <c r="W6460" s="744"/>
    </row>
    <row r="6461" spans="23:23" ht="24" customHeight="1">
      <c r="W6461" s="744"/>
    </row>
    <row r="6462" spans="23:23" ht="24" customHeight="1">
      <c r="W6462" s="744"/>
    </row>
    <row r="6463" spans="23:23" ht="24" customHeight="1">
      <c r="W6463" s="744"/>
    </row>
    <row r="6464" spans="23:23" ht="24" customHeight="1">
      <c r="W6464" s="744"/>
    </row>
    <row r="6465" spans="23:23" ht="24" customHeight="1">
      <c r="W6465" s="744"/>
    </row>
    <row r="6466" spans="23:23" ht="24" customHeight="1">
      <c r="W6466" s="744"/>
    </row>
    <row r="6467" spans="23:23" ht="24" customHeight="1">
      <c r="W6467" s="744"/>
    </row>
    <row r="6468" spans="23:23" ht="24" customHeight="1">
      <c r="W6468" s="744"/>
    </row>
    <row r="6469" spans="23:23" ht="24" customHeight="1">
      <c r="W6469" s="744"/>
    </row>
    <row r="6470" spans="23:23" ht="24" customHeight="1">
      <c r="W6470" s="744"/>
    </row>
    <row r="6471" spans="23:23" ht="24" customHeight="1">
      <c r="W6471" s="744"/>
    </row>
    <row r="6472" spans="23:23" ht="24" customHeight="1">
      <c r="W6472" s="744"/>
    </row>
    <row r="6473" spans="23:23" ht="24" customHeight="1">
      <c r="W6473" s="744"/>
    </row>
    <row r="6474" spans="23:23" ht="24" customHeight="1">
      <c r="W6474" s="744"/>
    </row>
    <row r="6475" spans="23:23" ht="24" customHeight="1">
      <c r="W6475" s="744"/>
    </row>
    <row r="6476" spans="23:23" ht="24" customHeight="1">
      <c r="W6476" s="744"/>
    </row>
    <row r="6477" spans="23:23" ht="24" customHeight="1">
      <c r="W6477" s="744"/>
    </row>
    <row r="6478" spans="23:23" ht="24" customHeight="1">
      <c r="W6478" s="744"/>
    </row>
    <row r="6479" spans="23:23" ht="24" customHeight="1">
      <c r="W6479" s="744"/>
    </row>
    <row r="6480" spans="23:23" ht="24" customHeight="1">
      <c r="W6480" s="744"/>
    </row>
    <row r="6481" spans="23:23" ht="24" customHeight="1">
      <c r="W6481" s="744"/>
    </row>
    <row r="6482" spans="23:23" ht="24" customHeight="1">
      <c r="W6482" s="744"/>
    </row>
    <row r="6483" spans="23:23" ht="24" customHeight="1">
      <c r="W6483" s="744"/>
    </row>
    <row r="6484" spans="23:23" ht="24" customHeight="1">
      <c r="W6484" s="744"/>
    </row>
    <row r="6485" spans="23:23" ht="24" customHeight="1">
      <c r="W6485" s="744"/>
    </row>
    <row r="6486" spans="23:23" ht="24" customHeight="1">
      <c r="W6486" s="744"/>
    </row>
    <row r="6487" spans="23:23" ht="24" customHeight="1">
      <c r="W6487" s="744"/>
    </row>
    <row r="6488" spans="23:23" ht="24" customHeight="1">
      <c r="W6488" s="744"/>
    </row>
    <row r="6489" spans="23:23" ht="24" customHeight="1">
      <c r="W6489" s="744"/>
    </row>
    <row r="6490" spans="23:23" ht="24" customHeight="1">
      <c r="W6490" s="744"/>
    </row>
    <row r="6491" spans="23:23" ht="24" customHeight="1">
      <c r="W6491" s="744"/>
    </row>
    <row r="6492" spans="23:23" ht="24" customHeight="1">
      <c r="W6492" s="744"/>
    </row>
    <row r="6493" spans="23:23" ht="24" customHeight="1">
      <c r="W6493" s="744"/>
    </row>
    <row r="6494" spans="23:23" ht="24" customHeight="1">
      <c r="W6494" s="744"/>
    </row>
    <row r="6495" spans="23:23" ht="24" customHeight="1">
      <c r="W6495" s="744"/>
    </row>
    <row r="6496" spans="23:23" ht="24" customHeight="1">
      <c r="W6496" s="744"/>
    </row>
    <row r="6497" spans="23:23" ht="24" customHeight="1">
      <c r="W6497" s="744"/>
    </row>
    <row r="6498" spans="23:23" ht="24" customHeight="1">
      <c r="W6498" s="744"/>
    </row>
    <row r="6499" spans="23:23" ht="24" customHeight="1">
      <c r="W6499" s="744"/>
    </row>
    <row r="6500" spans="23:23" ht="24" customHeight="1">
      <c r="W6500" s="744"/>
    </row>
    <row r="6501" spans="23:23" ht="24" customHeight="1">
      <c r="W6501" s="744"/>
    </row>
    <row r="6502" spans="23:23" ht="24" customHeight="1">
      <c r="W6502" s="744"/>
    </row>
    <row r="6503" spans="23:23" ht="24" customHeight="1">
      <c r="W6503" s="744"/>
    </row>
    <row r="6504" spans="23:23" ht="24" customHeight="1">
      <c r="W6504" s="744"/>
    </row>
    <row r="6505" spans="23:23" ht="24" customHeight="1">
      <c r="W6505" s="744"/>
    </row>
    <row r="6506" spans="23:23" ht="24" customHeight="1">
      <c r="W6506" s="744"/>
    </row>
    <row r="6507" spans="23:23" ht="24" customHeight="1">
      <c r="W6507" s="744"/>
    </row>
    <row r="6508" spans="23:23" ht="24" customHeight="1">
      <c r="W6508" s="744"/>
    </row>
    <row r="6509" spans="23:23" ht="24" customHeight="1">
      <c r="W6509" s="744"/>
    </row>
    <row r="6510" spans="23:23" ht="24" customHeight="1">
      <c r="W6510" s="744"/>
    </row>
    <row r="6511" spans="23:23" ht="24" customHeight="1">
      <c r="W6511" s="744"/>
    </row>
    <row r="6512" spans="23:23" ht="24" customHeight="1">
      <c r="W6512" s="744"/>
    </row>
    <row r="6513" spans="23:23" ht="24" customHeight="1">
      <c r="W6513" s="744"/>
    </row>
    <row r="6514" spans="23:23" ht="24" customHeight="1">
      <c r="W6514" s="744"/>
    </row>
    <row r="6515" spans="23:23" ht="24" customHeight="1">
      <c r="W6515" s="744"/>
    </row>
    <row r="6516" spans="23:23" ht="24" customHeight="1">
      <c r="W6516" s="744"/>
    </row>
    <row r="6517" spans="23:23" ht="24" customHeight="1">
      <c r="W6517" s="744"/>
    </row>
    <row r="6518" spans="23:23" ht="24" customHeight="1">
      <c r="W6518" s="744"/>
    </row>
    <row r="6519" spans="23:23" ht="24" customHeight="1">
      <c r="W6519" s="744"/>
    </row>
    <row r="6520" spans="23:23" ht="24" customHeight="1">
      <c r="W6520" s="744"/>
    </row>
    <row r="6521" spans="23:23" ht="24" customHeight="1">
      <c r="W6521" s="744"/>
    </row>
    <row r="6522" spans="23:23" ht="24" customHeight="1">
      <c r="W6522" s="744"/>
    </row>
    <row r="6523" spans="23:23" ht="24" customHeight="1">
      <c r="W6523" s="744"/>
    </row>
    <row r="6524" spans="23:23" ht="24" customHeight="1">
      <c r="W6524" s="744"/>
    </row>
    <row r="6525" spans="23:23" ht="24" customHeight="1">
      <c r="W6525" s="744"/>
    </row>
    <row r="6526" spans="23:23" ht="24" customHeight="1">
      <c r="W6526" s="744"/>
    </row>
    <row r="6527" spans="23:23" ht="24" customHeight="1">
      <c r="W6527" s="744"/>
    </row>
    <row r="6528" spans="23:23" ht="24" customHeight="1">
      <c r="W6528" s="744"/>
    </row>
    <row r="6529" spans="23:23" ht="24" customHeight="1">
      <c r="W6529" s="744"/>
    </row>
    <row r="6530" spans="23:23" ht="24" customHeight="1">
      <c r="W6530" s="744"/>
    </row>
    <row r="6531" spans="23:23" ht="24" customHeight="1">
      <c r="W6531" s="744"/>
    </row>
    <row r="6532" spans="23:23" ht="24" customHeight="1">
      <c r="W6532" s="744"/>
    </row>
    <row r="6533" spans="23:23" ht="24" customHeight="1">
      <c r="W6533" s="744"/>
    </row>
    <row r="6534" spans="23:23" ht="24" customHeight="1">
      <c r="W6534" s="744"/>
    </row>
    <row r="6535" spans="23:23" ht="24" customHeight="1">
      <c r="W6535" s="744"/>
    </row>
    <row r="6536" spans="23:23" ht="24" customHeight="1">
      <c r="W6536" s="744"/>
    </row>
    <row r="6537" spans="23:23" ht="24" customHeight="1">
      <c r="W6537" s="744"/>
    </row>
    <row r="6538" spans="23:23" ht="24" customHeight="1">
      <c r="W6538" s="744"/>
    </row>
    <row r="6539" spans="23:23" ht="24" customHeight="1">
      <c r="W6539" s="744"/>
    </row>
    <row r="6540" spans="23:23" ht="24" customHeight="1">
      <c r="W6540" s="744"/>
    </row>
    <row r="6541" spans="23:23" ht="24" customHeight="1">
      <c r="W6541" s="744"/>
    </row>
    <row r="6542" spans="23:23" ht="24" customHeight="1">
      <c r="W6542" s="744"/>
    </row>
    <row r="6543" spans="23:23" ht="24" customHeight="1">
      <c r="W6543" s="744"/>
    </row>
    <row r="6544" spans="23:23" ht="24" customHeight="1">
      <c r="W6544" s="744"/>
    </row>
    <row r="6545" spans="23:23" ht="24" customHeight="1">
      <c r="W6545" s="744"/>
    </row>
    <row r="6546" spans="23:23" ht="24" customHeight="1">
      <c r="W6546" s="744"/>
    </row>
    <row r="6547" spans="23:23" ht="24" customHeight="1">
      <c r="W6547" s="744"/>
    </row>
    <row r="6548" spans="23:23" ht="24" customHeight="1">
      <c r="W6548" s="744"/>
    </row>
    <row r="6549" spans="23:23" ht="24" customHeight="1">
      <c r="W6549" s="744"/>
    </row>
    <row r="6550" spans="23:23" ht="24" customHeight="1">
      <c r="W6550" s="744"/>
    </row>
    <row r="6551" spans="23:23" ht="24" customHeight="1">
      <c r="W6551" s="744"/>
    </row>
    <row r="6552" spans="23:23" ht="24" customHeight="1">
      <c r="W6552" s="744"/>
    </row>
    <row r="6553" spans="23:23" ht="24" customHeight="1">
      <c r="W6553" s="744"/>
    </row>
    <row r="6554" spans="23:23" ht="24" customHeight="1">
      <c r="W6554" s="744"/>
    </row>
    <row r="6555" spans="23:23" ht="24" customHeight="1">
      <c r="W6555" s="744"/>
    </row>
    <row r="6556" spans="23:23" ht="24" customHeight="1">
      <c r="W6556" s="744"/>
    </row>
    <row r="6557" spans="23:23" ht="24" customHeight="1">
      <c r="W6557" s="744"/>
    </row>
    <row r="6558" spans="23:23" ht="24" customHeight="1">
      <c r="W6558" s="744"/>
    </row>
    <row r="6559" spans="23:23" ht="24" customHeight="1">
      <c r="W6559" s="744"/>
    </row>
    <row r="6560" spans="23:23" ht="24" customHeight="1">
      <c r="W6560" s="744"/>
    </row>
    <row r="6561" spans="23:23" ht="24" customHeight="1">
      <c r="W6561" s="744"/>
    </row>
    <row r="6562" spans="23:23" ht="24" customHeight="1">
      <c r="W6562" s="744"/>
    </row>
    <row r="6563" spans="23:23" ht="24" customHeight="1">
      <c r="W6563" s="744"/>
    </row>
    <row r="6564" spans="23:23" ht="24" customHeight="1">
      <c r="W6564" s="744"/>
    </row>
    <row r="6565" spans="23:23" ht="24" customHeight="1">
      <c r="W6565" s="744"/>
    </row>
    <row r="6566" spans="23:23" ht="24" customHeight="1">
      <c r="W6566" s="744"/>
    </row>
    <row r="6567" spans="23:23" ht="24" customHeight="1">
      <c r="W6567" s="744"/>
    </row>
    <row r="6568" spans="23:23" ht="24" customHeight="1">
      <c r="W6568" s="744"/>
    </row>
    <row r="6569" spans="23:23" ht="24" customHeight="1">
      <c r="W6569" s="744"/>
    </row>
    <row r="6570" spans="23:23" ht="24" customHeight="1">
      <c r="W6570" s="744"/>
    </row>
    <row r="6571" spans="23:23" ht="24" customHeight="1">
      <c r="W6571" s="744"/>
    </row>
    <row r="6572" spans="23:23" ht="24" customHeight="1">
      <c r="W6572" s="744"/>
    </row>
    <row r="6573" spans="23:23" ht="24" customHeight="1">
      <c r="W6573" s="744"/>
    </row>
    <row r="6574" spans="23:23" ht="24" customHeight="1">
      <c r="W6574" s="744"/>
    </row>
    <row r="6575" spans="23:23" ht="24" customHeight="1">
      <c r="W6575" s="744"/>
    </row>
    <row r="6576" spans="23:23" ht="24" customHeight="1">
      <c r="W6576" s="744"/>
    </row>
    <row r="6577" spans="23:23" ht="24" customHeight="1">
      <c r="W6577" s="744"/>
    </row>
    <row r="6578" spans="23:23" ht="24" customHeight="1">
      <c r="W6578" s="744"/>
    </row>
    <row r="6579" spans="23:23" ht="24" customHeight="1">
      <c r="W6579" s="744"/>
    </row>
    <row r="6580" spans="23:23" ht="24" customHeight="1">
      <c r="W6580" s="744"/>
    </row>
    <row r="6581" spans="23:23" ht="24" customHeight="1">
      <c r="W6581" s="744"/>
    </row>
    <row r="6582" spans="23:23" ht="24" customHeight="1">
      <c r="W6582" s="744"/>
    </row>
    <row r="6583" spans="23:23" ht="24" customHeight="1">
      <c r="W6583" s="744"/>
    </row>
    <row r="6584" spans="23:23" ht="24" customHeight="1">
      <c r="W6584" s="744"/>
    </row>
    <row r="6585" spans="23:23" ht="24" customHeight="1">
      <c r="W6585" s="744"/>
    </row>
    <row r="6586" spans="23:23" ht="24" customHeight="1">
      <c r="W6586" s="744"/>
    </row>
    <row r="6587" spans="23:23" ht="24" customHeight="1">
      <c r="W6587" s="744"/>
    </row>
    <row r="6588" spans="23:23" ht="24" customHeight="1">
      <c r="W6588" s="744"/>
    </row>
    <row r="6589" spans="23:23" ht="24" customHeight="1">
      <c r="W6589" s="744"/>
    </row>
    <row r="6590" spans="23:23" ht="24" customHeight="1">
      <c r="W6590" s="744"/>
    </row>
    <row r="6591" spans="23:23" ht="24" customHeight="1">
      <c r="W6591" s="744"/>
    </row>
    <row r="6592" spans="23:23" ht="24" customHeight="1">
      <c r="W6592" s="744"/>
    </row>
    <row r="6593" spans="23:23" ht="24" customHeight="1">
      <c r="W6593" s="744"/>
    </row>
    <row r="6594" spans="23:23" ht="24" customHeight="1">
      <c r="W6594" s="744"/>
    </row>
    <row r="6595" spans="23:23" ht="24" customHeight="1">
      <c r="W6595" s="744"/>
    </row>
    <row r="6596" spans="23:23" ht="24" customHeight="1">
      <c r="W6596" s="744"/>
    </row>
    <row r="6597" spans="23:23" ht="24" customHeight="1">
      <c r="W6597" s="744"/>
    </row>
    <row r="6598" spans="23:23" ht="24" customHeight="1">
      <c r="W6598" s="744"/>
    </row>
    <row r="6599" spans="23:23" ht="24" customHeight="1">
      <c r="W6599" s="744"/>
    </row>
    <row r="6600" spans="23:23" ht="24" customHeight="1">
      <c r="W6600" s="744"/>
    </row>
    <row r="6601" spans="23:23" ht="24" customHeight="1">
      <c r="W6601" s="744"/>
    </row>
    <row r="6602" spans="23:23" ht="24" customHeight="1">
      <c r="W6602" s="744"/>
    </row>
    <row r="6603" spans="23:23" ht="24" customHeight="1">
      <c r="W6603" s="744"/>
    </row>
    <row r="6604" spans="23:23" ht="24" customHeight="1">
      <c r="W6604" s="744"/>
    </row>
    <row r="6605" spans="23:23" ht="24" customHeight="1">
      <c r="W6605" s="744"/>
    </row>
    <row r="6606" spans="23:23" ht="24" customHeight="1">
      <c r="W6606" s="744"/>
    </row>
    <row r="6607" spans="23:23" ht="24" customHeight="1">
      <c r="W6607" s="744"/>
    </row>
    <row r="6608" spans="23:23" ht="24" customHeight="1">
      <c r="W6608" s="744"/>
    </row>
    <row r="6609" spans="23:23" ht="24" customHeight="1">
      <c r="W6609" s="744"/>
    </row>
    <row r="6610" spans="23:23" ht="24" customHeight="1">
      <c r="W6610" s="744"/>
    </row>
    <row r="6611" spans="23:23" ht="24" customHeight="1">
      <c r="W6611" s="744"/>
    </row>
    <row r="6612" spans="23:23" ht="24" customHeight="1">
      <c r="W6612" s="744"/>
    </row>
    <row r="6613" spans="23:23" ht="24" customHeight="1">
      <c r="W6613" s="744"/>
    </row>
    <row r="6614" spans="23:23" ht="24" customHeight="1">
      <c r="W6614" s="744"/>
    </row>
    <row r="6615" spans="23:23" ht="24" customHeight="1">
      <c r="W6615" s="744"/>
    </row>
    <row r="6616" spans="23:23" ht="24" customHeight="1">
      <c r="W6616" s="744"/>
    </row>
    <row r="6617" spans="23:23" ht="24" customHeight="1">
      <c r="W6617" s="744"/>
    </row>
    <row r="6618" spans="23:23" ht="24" customHeight="1">
      <c r="W6618" s="744"/>
    </row>
    <row r="6619" spans="23:23" ht="24" customHeight="1">
      <c r="W6619" s="744"/>
    </row>
    <row r="6620" spans="23:23" ht="24" customHeight="1">
      <c r="W6620" s="744"/>
    </row>
    <row r="6621" spans="23:23" ht="24" customHeight="1">
      <c r="W6621" s="744"/>
    </row>
    <row r="6622" spans="23:23" ht="24" customHeight="1">
      <c r="W6622" s="744"/>
    </row>
    <row r="6623" spans="23:23" ht="24" customHeight="1">
      <c r="W6623" s="744"/>
    </row>
    <row r="6624" spans="23:23" ht="24" customHeight="1">
      <c r="W6624" s="744"/>
    </row>
    <row r="6625" spans="23:23" ht="24" customHeight="1">
      <c r="W6625" s="744"/>
    </row>
    <row r="6626" spans="23:23" ht="24" customHeight="1">
      <c r="W6626" s="744"/>
    </row>
    <row r="6627" spans="23:23" ht="24" customHeight="1">
      <c r="W6627" s="744"/>
    </row>
    <row r="6628" spans="23:23" ht="24" customHeight="1">
      <c r="W6628" s="744"/>
    </row>
    <row r="6629" spans="23:23" ht="24" customHeight="1">
      <c r="W6629" s="744"/>
    </row>
    <row r="6630" spans="23:23" ht="24" customHeight="1">
      <c r="W6630" s="744"/>
    </row>
    <row r="6631" spans="23:23" ht="24" customHeight="1">
      <c r="W6631" s="744"/>
    </row>
    <row r="6632" spans="23:23" ht="24" customHeight="1">
      <c r="W6632" s="744"/>
    </row>
    <row r="6633" spans="23:23" ht="24" customHeight="1">
      <c r="W6633" s="744"/>
    </row>
    <row r="6634" spans="23:23" ht="24" customHeight="1">
      <c r="W6634" s="744"/>
    </row>
    <row r="6635" spans="23:23" ht="24" customHeight="1">
      <c r="W6635" s="744"/>
    </row>
    <row r="6636" spans="23:23" ht="24" customHeight="1">
      <c r="W6636" s="744"/>
    </row>
    <row r="6637" spans="23:23" ht="24" customHeight="1">
      <c r="W6637" s="744"/>
    </row>
    <row r="6638" spans="23:23" ht="24" customHeight="1">
      <c r="W6638" s="744"/>
    </row>
    <row r="6639" spans="23:23" ht="24" customHeight="1">
      <c r="W6639" s="744"/>
    </row>
    <row r="6640" spans="23:23" ht="24" customHeight="1">
      <c r="W6640" s="744"/>
    </row>
    <row r="6641" spans="23:23" ht="24" customHeight="1">
      <c r="W6641" s="744"/>
    </row>
    <row r="6642" spans="23:23" ht="24" customHeight="1">
      <c r="W6642" s="744"/>
    </row>
    <row r="6643" spans="23:23" ht="24" customHeight="1">
      <c r="W6643" s="744"/>
    </row>
    <row r="6644" spans="23:23" ht="24" customHeight="1">
      <c r="W6644" s="744"/>
    </row>
    <row r="6645" spans="23:23" ht="24" customHeight="1">
      <c r="W6645" s="744"/>
    </row>
    <row r="6646" spans="23:23" ht="24" customHeight="1">
      <c r="W6646" s="744"/>
    </row>
    <row r="6647" spans="23:23" ht="24" customHeight="1">
      <c r="W6647" s="744"/>
    </row>
    <row r="6648" spans="23:23" ht="24" customHeight="1">
      <c r="W6648" s="744"/>
    </row>
    <row r="6649" spans="23:23" ht="24" customHeight="1">
      <c r="W6649" s="744"/>
    </row>
    <row r="6650" spans="23:23" ht="24" customHeight="1">
      <c r="W6650" s="744"/>
    </row>
    <row r="6651" spans="23:23" ht="24" customHeight="1">
      <c r="W6651" s="744"/>
    </row>
    <row r="6652" spans="23:23" ht="24" customHeight="1">
      <c r="W6652" s="744"/>
    </row>
    <row r="6653" spans="23:23" ht="24" customHeight="1">
      <c r="W6653" s="744"/>
    </row>
    <row r="6654" spans="23:23" ht="24" customHeight="1">
      <c r="W6654" s="744"/>
    </row>
    <row r="6655" spans="23:23" ht="24" customHeight="1">
      <c r="W6655" s="744"/>
    </row>
    <row r="6656" spans="23:23" ht="24" customHeight="1">
      <c r="W6656" s="744"/>
    </row>
    <row r="6657" spans="23:23" ht="24" customHeight="1">
      <c r="W6657" s="744"/>
    </row>
    <row r="6658" spans="23:23" ht="24" customHeight="1">
      <c r="W6658" s="744"/>
    </row>
    <row r="6659" spans="23:23" ht="24" customHeight="1">
      <c r="W6659" s="744"/>
    </row>
    <row r="6660" spans="23:23" ht="24" customHeight="1">
      <c r="W6660" s="744"/>
    </row>
    <row r="6661" spans="23:23" ht="24" customHeight="1">
      <c r="W6661" s="744"/>
    </row>
    <row r="6662" spans="23:23" ht="24" customHeight="1">
      <c r="W6662" s="744"/>
    </row>
    <row r="6663" spans="23:23" ht="24" customHeight="1">
      <c r="W6663" s="744"/>
    </row>
    <row r="6664" spans="23:23" ht="24" customHeight="1">
      <c r="W6664" s="744"/>
    </row>
    <row r="6665" spans="23:23" ht="24" customHeight="1">
      <c r="W6665" s="744"/>
    </row>
    <row r="6666" spans="23:23" ht="24" customHeight="1">
      <c r="W6666" s="744"/>
    </row>
    <row r="6667" spans="23:23" ht="24" customHeight="1">
      <c r="W6667" s="744"/>
    </row>
    <row r="6668" spans="23:23" ht="24" customHeight="1">
      <c r="W6668" s="744"/>
    </row>
    <row r="6669" spans="23:23" ht="24" customHeight="1">
      <c r="W6669" s="744"/>
    </row>
    <row r="6670" spans="23:23" ht="24" customHeight="1">
      <c r="W6670" s="744"/>
    </row>
    <row r="6671" spans="23:23" ht="24" customHeight="1">
      <c r="W6671" s="744"/>
    </row>
    <row r="6672" spans="23:23" ht="24" customHeight="1">
      <c r="W6672" s="744"/>
    </row>
    <row r="6673" spans="23:23" ht="24" customHeight="1">
      <c r="W6673" s="744"/>
    </row>
    <row r="6674" spans="23:23" ht="24" customHeight="1">
      <c r="W6674" s="744"/>
    </row>
    <row r="6675" spans="23:23" ht="24" customHeight="1">
      <c r="W6675" s="744"/>
    </row>
    <row r="6676" spans="23:23" ht="24" customHeight="1">
      <c r="W6676" s="744"/>
    </row>
    <row r="6677" spans="23:23" ht="24" customHeight="1">
      <c r="W6677" s="744"/>
    </row>
    <row r="6678" spans="23:23" ht="24" customHeight="1">
      <c r="W6678" s="744"/>
    </row>
    <row r="6679" spans="23:23" ht="24" customHeight="1">
      <c r="W6679" s="744"/>
    </row>
    <row r="6680" spans="23:23" ht="24" customHeight="1">
      <c r="W6680" s="744"/>
    </row>
    <row r="6681" spans="23:23" ht="24" customHeight="1">
      <c r="W6681" s="744"/>
    </row>
    <row r="6682" spans="23:23" ht="24" customHeight="1">
      <c r="W6682" s="744"/>
    </row>
    <row r="6683" spans="23:23" ht="24" customHeight="1">
      <c r="W6683" s="744"/>
    </row>
    <row r="6684" spans="23:23" ht="24" customHeight="1">
      <c r="W6684" s="744"/>
    </row>
    <row r="6685" spans="23:23" ht="24" customHeight="1">
      <c r="W6685" s="744"/>
    </row>
    <row r="6686" spans="23:23" ht="24" customHeight="1">
      <c r="W6686" s="744"/>
    </row>
    <row r="6687" spans="23:23" ht="24" customHeight="1">
      <c r="W6687" s="744"/>
    </row>
    <row r="6688" spans="23:23" ht="24" customHeight="1">
      <c r="W6688" s="744"/>
    </row>
    <row r="6689" spans="23:23" ht="24" customHeight="1">
      <c r="W6689" s="744"/>
    </row>
    <row r="6690" spans="23:23" ht="24" customHeight="1">
      <c r="W6690" s="744"/>
    </row>
    <row r="6691" spans="23:23" ht="24" customHeight="1">
      <c r="W6691" s="744"/>
    </row>
    <row r="6692" spans="23:23" ht="24" customHeight="1">
      <c r="W6692" s="744"/>
    </row>
    <row r="6693" spans="23:23" ht="24" customHeight="1">
      <c r="W6693" s="744"/>
    </row>
    <row r="6694" spans="23:23" ht="24" customHeight="1">
      <c r="W6694" s="744"/>
    </row>
    <row r="6695" spans="23:23" ht="24" customHeight="1">
      <c r="W6695" s="744"/>
    </row>
    <row r="6696" spans="23:23" ht="24" customHeight="1">
      <c r="W6696" s="744"/>
    </row>
    <row r="6697" spans="23:23" ht="24" customHeight="1">
      <c r="W6697" s="744"/>
    </row>
    <row r="6698" spans="23:23" ht="24" customHeight="1">
      <c r="W6698" s="744"/>
    </row>
    <row r="6699" spans="23:23" ht="24" customHeight="1">
      <c r="W6699" s="744"/>
    </row>
    <row r="6700" spans="23:23" ht="24" customHeight="1">
      <c r="W6700" s="744"/>
    </row>
    <row r="6701" spans="23:23" ht="24" customHeight="1">
      <c r="W6701" s="744"/>
    </row>
    <row r="6702" spans="23:23" ht="24" customHeight="1">
      <c r="W6702" s="744"/>
    </row>
    <row r="6703" spans="23:23" ht="24" customHeight="1">
      <c r="W6703" s="744"/>
    </row>
    <row r="6704" spans="23:23" ht="24" customHeight="1">
      <c r="W6704" s="744"/>
    </row>
    <row r="6705" spans="23:23" ht="24" customHeight="1">
      <c r="W6705" s="744"/>
    </row>
    <row r="6706" spans="23:23" ht="24" customHeight="1">
      <c r="W6706" s="744"/>
    </row>
    <row r="6707" spans="23:23" ht="24" customHeight="1">
      <c r="W6707" s="744"/>
    </row>
    <row r="6708" spans="23:23" ht="24" customHeight="1">
      <c r="W6708" s="744"/>
    </row>
    <row r="6709" spans="23:23" ht="24" customHeight="1">
      <c r="W6709" s="744"/>
    </row>
    <row r="6710" spans="23:23" ht="24" customHeight="1">
      <c r="W6710" s="744"/>
    </row>
    <row r="6711" spans="23:23" ht="24" customHeight="1">
      <c r="W6711" s="744"/>
    </row>
    <row r="6712" spans="23:23" ht="24" customHeight="1">
      <c r="W6712" s="744"/>
    </row>
    <row r="6713" spans="23:23" ht="24" customHeight="1">
      <c r="W6713" s="744"/>
    </row>
    <row r="6714" spans="23:23" ht="24" customHeight="1">
      <c r="W6714" s="744"/>
    </row>
    <row r="6715" spans="23:23" ht="24" customHeight="1">
      <c r="W6715" s="744"/>
    </row>
    <row r="6716" spans="23:23" ht="24" customHeight="1">
      <c r="W6716" s="744"/>
    </row>
    <row r="6717" spans="23:23" ht="24" customHeight="1">
      <c r="W6717" s="744"/>
    </row>
    <row r="6718" spans="23:23" ht="24" customHeight="1">
      <c r="W6718" s="744"/>
    </row>
    <row r="6719" spans="23:23" ht="24" customHeight="1">
      <c r="W6719" s="744"/>
    </row>
    <row r="6720" spans="23:23" ht="24" customHeight="1">
      <c r="W6720" s="744"/>
    </row>
    <row r="6721" spans="23:23" ht="24" customHeight="1">
      <c r="W6721" s="744"/>
    </row>
    <row r="6722" spans="23:23" ht="24" customHeight="1">
      <c r="W6722" s="744"/>
    </row>
    <row r="6723" spans="23:23" ht="24" customHeight="1">
      <c r="W6723" s="744"/>
    </row>
    <row r="6724" spans="23:23" ht="24" customHeight="1">
      <c r="W6724" s="744"/>
    </row>
    <row r="6725" spans="23:23" ht="24" customHeight="1">
      <c r="W6725" s="744"/>
    </row>
    <row r="6726" spans="23:23" ht="24" customHeight="1">
      <c r="W6726" s="744"/>
    </row>
    <row r="6727" spans="23:23" ht="24" customHeight="1">
      <c r="W6727" s="744"/>
    </row>
    <row r="6728" spans="23:23" ht="24" customHeight="1">
      <c r="W6728" s="744"/>
    </row>
    <row r="6729" spans="23:23" ht="24" customHeight="1">
      <c r="W6729" s="744"/>
    </row>
    <row r="6730" spans="23:23" ht="24" customHeight="1">
      <c r="W6730" s="744"/>
    </row>
    <row r="6731" spans="23:23" ht="24" customHeight="1">
      <c r="W6731" s="744"/>
    </row>
    <row r="6732" spans="23:23" ht="24" customHeight="1">
      <c r="W6732" s="744"/>
    </row>
    <row r="6733" spans="23:23" ht="24" customHeight="1">
      <c r="W6733" s="744"/>
    </row>
    <row r="6734" spans="23:23" ht="24" customHeight="1">
      <c r="W6734" s="744"/>
    </row>
    <row r="6735" spans="23:23" ht="24" customHeight="1">
      <c r="W6735" s="744"/>
    </row>
    <row r="6736" spans="23:23" ht="24" customHeight="1">
      <c r="W6736" s="744"/>
    </row>
    <row r="6737" spans="23:23" ht="24" customHeight="1">
      <c r="W6737" s="744"/>
    </row>
    <row r="6738" spans="23:23" ht="24" customHeight="1">
      <c r="W6738" s="744"/>
    </row>
    <row r="6739" spans="23:23" ht="24" customHeight="1">
      <c r="W6739" s="744"/>
    </row>
    <row r="6740" spans="23:23" ht="24" customHeight="1">
      <c r="W6740" s="744"/>
    </row>
    <row r="6741" spans="23:23" ht="24" customHeight="1">
      <c r="W6741" s="744"/>
    </row>
    <row r="6742" spans="23:23" ht="24" customHeight="1">
      <c r="W6742" s="744"/>
    </row>
    <row r="6743" spans="23:23" ht="24" customHeight="1">
      <c r="W6743" s="744"/>
    </row>
    <row r="6744" spans="23:23" ht="24" customHeight="1">
      <c r="W6744" s="744"/>
    </row>
    <row r="6745" spans="23:23" ht="24" customHeight="1">
      <c r="W6745" s="744"/>
    </row>
    <row r="6746" spans="23:23" ht="24" customHeight="1">
      <c r="W6746" s="744"/>
    </row>
    <row r="6747" spans="23:23" ht="24" customHeight="1">
      <c r="W6747" s="744"/>
    </row>
    <row r="6748" spans="23:23" ht="24" customHeight="1">
      <c r="W6748" s="744"/>
    </row>
    <row r="6749" spans="23:23" ht="24" customHeight="1">
      <c r="W6749" s="744"/>
    </row>
    <row r="6750" spans="23:23" ht="24" customHeight="1">
      <c r="W6750" s="744"/>
    </row>
    <row r="6751" spans="23:23" ht="24" customHeight="1">
      <c r="W6751" s="744"/>
    </row>
    <row r="6752" spans="23:23" ht="24" customHeight="1">
      <c r="W6752" s="744"/>
    </row>
    <row r="6753" spans="23:23" ht="24" customHeight="1">
      <c r="W6753" s="744"/>
    </row>
    <row r="6754" spans="23:23" ht="24" customHeight="1">
      <c r="W6754" s="744"/>
    </row>
    <row r="6755" spans="23:23" ht="24" customHeight="1">
      <c r="W6755" s="744"/>
    </row>
    <row r="6756" spans="23:23" ht="24" customHeight="1">
      <c r="W6756" s="744"/>
    </row>
    <row r="6757" spans="23:23" ht="24" customHeight="1">
      <c r="W6757" s="744"/>
    </row>
    <row r="6758" spans="23:23" ht="24" customHeight="1">
      <c r="W6758" s="744"/>
    </row>
    <row r="6759" spans="23:23" ht="24" customHeight="1">
      <c r="W6759" s="744"/>
    </row>
    <row r="6760" spans="23:23" ht="24" customHeight="1">
      <c r="W6760" s="744"/>
    </row>
    <row r="6761" spans="23:23" ht="24" customHeight="1">
      <c r="W6761" s="744"/>
    </row>
    <row r="6762" spans="23:23" ht="24" customHeight="1">
      <c r="W6762" s="744"/>
    </row>
    <row r="6763" spans="23:23" ht="24" customHeight="1">
      <c r="W6763" s="744"/>
    </row>
    <row r="6764" spans="23:23" ht="24" customHeight="1">
      <c r="W6764" s="744"/>
    </row>
    <row r="6765" spans="23:23" ht="24" customHeight="1">
      <c r="W6765" s="744"/>
    </row>
    <row r="6766" spans="23:23" ht="24" customHeight="1">
      <c r="W6766" s="744"/>
    </row>
    <row r="6767" spans="23:23" ht="24" customHeight="1">
      <c r="W6767" s="744"/>
    </row>
    <row r="6768" spans="23:23" ht="24" customHeight="1">
      <c r="W6768" s="744"/>
    </row>
    <row r="6769" spans="23:23" ht="24" customHeight="1">
      <c r="W6769" s="744"/>
    </row>
    <row r="6770" spans="23:23" ht="24" customHeight="1">
      <c r="W6770" s="744"/>
    </row>
    <row r="6771" spans="23:23" ht="24" customHeight="1">
      <c r="W6771" s="744"/>
    </row>
    <row r="6772" spans="23:23" ht="24" customHeight="1">
      <c r="W6772" s="744"/>
    </row>
    <row r="6773" spans="23:23" ht="24" customHeight="1">
      <c r="W6773" s="744"/>
    </row>
    <row r="6774" spans="23:23" ht="24" customHeight="1">
      <c r="W6774" s="744"/>
    </row>
    <row r="6775" spans="23:23" ht="24" customHeight="1">
      <c r="W6775" s="744"/>
    </row>
    <row r="6776" spans="23:23" ht="24" customHeight="1">
      <c r="W6776" s="744"/>
    </row>
    <row r="6777" spans="23:23" ht="24" customHeight="1">
      <c r="W6777" s="744"/>
    </row>
    <row r="6778" spans="23:23" ht="24" customHeight="1">
      <c r="W6778" s="744"/>
    </row>
    <row r="6779" spans="23:23" ht="24" customHeight="1">
      <c r="W6779" s="744"/>
    </row>
    <row r="6780" spans="23:23" ht="24" customHeight="1">
      <c r="W6780" s="744"/>
    </row>
    <row r="6781" spans="23:23" ht="24" customHeight="1">
      <c r="W6781" s="744"/>
    </row>
    <row r="6782" spans="23:23" ht="24" customHeight="1">
      <c r="W6782" s="744"/>
    </row>
    <row r="6783" spans="23:23" ht="24" customHeight="1">
      <c r="W6783" s="744"/>
    </row>
    <row r="6784" spans="23:23" ht="24" customHeight="1">
      <c r="W6784" s="744"/>
    </row>
    <row r="6785" spans="23:23" ht="24" customHeight="1">
      <c r="W6785" s="744"/>
    </row>
    <row r="6786" spans="23:23" ht="24" customHeight="1">
      <c r="W6786" s="744"/>
    </row>
    <row r="6787" spans="23:23" ht="24" customHeight="1">
      <c r="W6787" s="744"/>
    </row>
    <row r="6788" spans="23:23" ht="24" customHeight="1">
      <c r="W6788" s="744"/>
    </row>
    <row r="6789" spans="23:23" ht="24" customHeight="1">
      <c r="W6789" s="744"/>
    </row>
    <row r="6790" spans="23:23" ht="24" customHeight="1">
      <c r="W6790" s="744"/>
    </row>
    <row r="6791" spans="23:23" ht="24" customHeight="1">
      <c r="W6791" s="744"/>
    </row>
    <row r="6792" spans="23:23" ht="24" customHeight="1">
      <c r="W6792" s="744"/>
    </row>
    <row r="6793" spans="23:23" ht="24" customHeight="1">
      <c r="W6793" s="744"/>
    </row>
    <row r="6794" spans="23:23" ht="24" customHeight="1">
      <c r="W6794" s="744"/>
    </row>
    <row r="6795" spans="23:23" ht="24" customHeight="1">
      <c r="W6795" s="744"/>
    </row>
    <row r="6796" spans="23:23" ht="24" customHeight="1">
      <c r="W6796" s="744"/>
    </row>
    <row r="6797" spans="23:23" ht="24" customHeight="1">
      <c r="W6797" s="744"/>
    </row>
    <row r="6798" spans="23:23" ht="24" customHeight="1">
      <c r="W6798" s="744"/>
    </row>
    <row r="6799" spans="23:23" ht="24" customHeight="1">
      <c r="W6799" s="744"/>
    </row>
    <row r="6800" spans="23:23" ht="24" customHeight="1">
      <c r="W6800" s="744"/>
    </row>
    <row r="6801" spans="23:23" ht="24" customHeight="1">
      <c r="W6801" s="744"/>
    </row>
    <row r="6802" spans="23:23" ht="24" customHeight="1">
      <c r="W6802" s="744"/>
    </row>
    <row r="6803" spans="23:23" ht="24" customHeight="1">
      <c r="W6803" s="744"/>
    </row>
    <row r="6804" spans="23:23" ht="24" customHeight="1">
      <c r="W6804" s="744"/>
    </row>
    <row r="6805" spans="23:23" ht="24" customHeight="1">
      <c r="W6805" s="744"/>
    </row>
    <row r="6806" spans="23:23" ht="24" customHeight="1">
      <c r="W6806" s="744"/>
    </row>
    <row r="6807" spans="23:23" ht="24" customHeight="1">
      <c r="W6807" s="744"/>
    </row>
    <row r="6808" spans="23:23" ht="24" customHeight="1">
      <c r="W6808" s="744"/>
    </row>
    <row r="6809" spans="23:23" ht="24" customHeight="1">
      <c r="W6809" s="744"/>
    </row>
    <row r="6810" spans="23:23" ht="24" customHeight="1">
      <c r="W6810" s="744"/>
    </row>
    <row r="6811" spans="23:23" ht="24" customHeight="1">
      <c r="W6811" s="744"/>
    </row>
    <row r="6812" spans="23:23" ht="24" customHeight="1">
      <c r="W6812" s="744"/>
    </row>
    <row r="6813" spans="23:23" ht="24" customHeight="1">
      <c r="W6813" s="744"/>
    </row>
    <row r="6814" spans="23:23" ht="24" customHeight="1">
      <c r="W6814" s="744"/>
    </row>
    <row r="6815" spans="23:23" ht="24" customHeight="1">
      <c r="W6815" s="744"/>
    </row>
    <row r="6816" spans="23:23" ht="24" customHeight="1">
      <c r="W6816" s="744"/>
    </row>
    <row r="6817" spans="23:23" ht="24" customHeight="1">
      <c r="W6817" s="744"/>
    </row>
    <row r="6818" spans="23:23" ht="24" customHeight="1">
      <c r="W6818" s="744"/>
    </row>
    <row r="6819" spans="23:23" ht="24" customHeight="1">
      <c r="W6819" s="744"/>
    </row>
    <row r="6820" spans="23:23" ht="24" customHeight="1">
      <c r="W6820" s="744"/>
    </row>
    <row r="6821" spans="23:23" ht="24" customHeight="1">
      <c r="W6821" s="744"/>
    </row>
    <row r="6822" spans="23:23" ht="24" customHeight="1">
      <c r="W6822" s="744"/>
    </row>
    <row r="6823" spans="23:23" ht="24" customHeight="1">
      <c r="W6823" s="744"/>
    </row>
    <row r="6824" spans="23:23" ht="24" customHeight="1">
      <c r="W6824" s="744"/>
    </row>
    <row r="6825" spans="23:23" ht="24" customHeight="1">
      <c r="W6825" s="744"/>
    </row>
    <row r="6826" spans="23:23" ht="24" customHeight="1">
      <c r="W6826" s="744"/>
    </row>
    <row r="6827" spans="23:23" ht="24" customHeight="1">
      <c r="W6827" s="744"/>
    </row>
    <row r="6828" spans="23:23" ht="24" customHeight="1">
      <c r="W6828" s="744"/>
    </row>
    <row r="6829" spans="23:23" ht="24" customHeight="1">
      <c r="W6829" s="744"/>
    </row>
    <row r="6830" spans="23:23" ht="24" customHeight="1">
      <c r="W6830" s="744"/>
    </row>
    <row r="6831" spans="23:23" ht="24" customHeight="1">
      <c r="W6831" s="744"/>
    </row>
    <row r="6832" spans="23:23" ht="24" customHeight="1">
      <c r="W6832" s="744"/>
    </row>
    <row r="6833" spans="23:23" ht="24" customHeight="1">
      <c r="W6833" s="744"/>
    </row>
    <row r="6834" spans="23:23" ht="24" customHeight="1">
      <c r="W6834" s="744"/>
    </row>
    <row r="6835" spans="23:23" ht="24" customHeight="1">
      <c r="W6835" s="744"/>
    </row>
    <row r="6836" spans="23:23" ht="24" customHeight="1">
      <c r="W6836" s="744"/>
    </row>
    <row r="6837" spans="23:23" ht="24" customHeight="1">
      <c r="W6837" s="744"/>
    </row>
    <row r="6838" spans="23:23" ht="24" customHeight="1">
      <c r="W6838" s="744"/>
    </row>
    <row r="6839" spans="23:23" ht="24" customHeight="1">
      <c r="W6839" s="744"/>
    </row>
    <row r="6840" spans="23:23" ht="24" customHeight="1">
      <c r="W6840" s="744"/>
    </row>
    <row r="6841" spans="23:23" ht="24" customHeight="1">
      <c r="W6841" s="744"/>
    </row>
    <row r="6842" spans="23:23" ht="24" customHeight="1">
      <c r="W6842" s="744"/>
    </row>
    <row r="6843" spans="23:23" ht="24" customHeight="1">
      <c r="W6843" s="744"/>
    </row>
    <row r="6844" spans="23:23" ht="24" customHeight="1">
      <c r="W6844" s="744"/>
    </row>
    <row r="6845" spans="23:23" ht="24" customHeight="1">
      <c r="W6845" s="744"/>
    </row>
    <row r="6846" spans="23:23" ht="24" customHeight="1">
      <c r="W6846" s="744"/>
    </row>
    <row r="6847" spans="23:23" ht="24" customHeight="1">
      <c r="W6847" s="744"/>
    </row>
    <row r="6848" spans="23:23" ht="24" customHeight="1">
      <c r="W6848" s="744"/>
    </row>
    <row r="6849" spans="23:23" ht="24" customHeight="1">
      <c r="W6849" s="744"/>
    </row>
    <row r="6850" spans="23:23" ht="24" customHeight="1">
      <c r="W6850" s="744"/>
    </row>
    <row r="6851" spans="23:23" ht="24" customHeight="1">
      <c r="W6851" s="744"/>
    </row>
    <row r="6852" spans="23:23" ht="24" customHeight="1">
      <c r="W6852" s="744"/>
    </row>
    <row r="6853" spans="23:23" ht="24" customHeight="1">
      <c r="W6853" s="744"/>
    </row>
    <row r="6854" spans="23:23" ht="24" customHeight="1">
      <c r="W6854" s="744"/>
    </row>
    <row r="6855" spans="23:23" ht="24" customHeight="1">
      <c r="W6855" s="744"/>
    </row>
    <row r="6856" spans="23:23" ht="24" customHeight="1">
      <c r="W6856" s="744"/>
    </row>
    <row r="6857" spans="23:23" ht="24" customHeight="1">
      <c r="W6857" s="744"/>
    </row>
    <row r="6858" spans="23:23" ht="24" customHeight="1">
      <c r="W6858" s="744"/>
    </row>
    <row r="6859" spans="23:23" ht="24" customHeight="1">
      <c r="W6859" s="744"/>
    </row>
    <row r="6860" spans="23:23" ht="24" customHeight="1">
      <c r="W6860" s="744"/>
    </row>
    <row r="6861" spans="23:23" ht="24" customHeight="1">
      <c r="W6861" s="744"/>
    </row>
    <row r="6862" spans="23:23" ht="24" customHeight="1">
      <c r="W6862" s="744"/>
    </row>
    <row r="6863" spans="23:23" ht="24" customHeight="1">
      <c r="W6863" s="744"/>
    </row>
    <row r="6864" spans="23:23" ht="24" customHeight="1">
      <c r="W6864" s="744"/>
    </row>
    <row r="6865" spans="23:23" ht="24" customHeight="1">
      <c r="W6865" s="744"/>
    </row>
    <row r="6866" spans="23:23" ht="24" customHeight="1">
      <c r="W6866" s="744"/>
    </row>
    <row r="6867" spans="23:23" ht="24" customHeight="1">
      <c r="W6867" s="744"/>
    </row>
    <row r="6868" spans="23:23" ht="24" customHeight="1">
      <c r="W6868" s="744"/>
    </row>
    <row r="6869" spans="23:23" ht="24" customHeight="1">
      <c r="W6869" s="744"/>
    </row>
    <row r="6870" spans="23:23" ht="24" customHeight="1">
      <c r="W6870" s="744"/>
    </row>
    <row r="6871" spans="23:23" ht="24" customHeight="1">
      <c r="W6871" s="744"/>
    </row>
    <row r="6872" spans="23:23" ht="24" customHeight="1">
      <c r="W6872" s="744"/>
    </row>
    <row r="6873" spans="23:23" ht="24" customHeight="1">
      <c r="W6873" s="744"/>
    </row>
    <row r="6874" spans="23:23" ht="24" customHeight="1">
      <c r="W6874" s="744"/>
    </row>
    <row r="6875" spans="23:23" ht="24" customHeight="1">
      <c r="W6875" s="744"/>
    </row>
    <row r="6876" spans="23:23" ht="24" customHeight="1">
      <c r="W6876" s="744"/>
    </row>
    <row r="6877" spans="23:23" ht="24" customHeight="1">
      <c r="W6877" s="744"/>
    </row>
    <row r="6878" spans="23:23" ht="24" customHeight="1">
      <c r="W6878" s="744"/>
    </row>
    <row r="6879" spans="23:23" ht="24" customHeight="1">
      <c r="W6879" s="744"/>
    </row>
    <row r="6880" spans="23:23" ht="24" customHeight="1">
      <c r="W6880" s="744"/>
    </row>
    <row r="6881" spans="23:23" ht="24" customHeight="1">
      <c r="W6881" s="744"/>
    </row>
    <row r="6882" spans="23:23" ht="24" customHeight="1">
      <c r="W6882" s="744"/>
    </row>
    <row r="6883" spans="23:23" ht="24" customHeight="1">
      <c r="W6883" s="744"/>
    </row>
    <row r="6884" spans="23:23" ht="24" customHeight="1">
      <c r="W6884" s="744"/>
    </row>
    <row r="6885" spans="23:23" ht="24" customHeight="1">
      <c r="W6885" s="744"/>
    </row>
    <row r="6886" spans="23:23" ht="24" customHeight="1">
      <c r="W6886" s="744"/>
    </row>
    <row r="6887" spans="23:23" ht="24" customHeight="1">
      <c r="W6887" s="744"/>
    </row>
    <row r="6888" spans="23:23" ht="24" customHeight="1">
      <c r="W6888" s="744"/>
    </row>
    <row r="6889" spans="23:23" ht="24" customHeight="1">
      <c r="W6889" s="744"/>
    </row>
    <row r="6890" spans="23:23" ht="24" customHeight="1">
      <c r="W6890" s="744"/>
    </row>
    <row r="6891" spans="23:23" ht="24" customHeight="1">
      <c r="W6891" s="744"/>
    </row>
    <row r="6892" spans="23:23" ht="24" customHeight="1">
      <c r="W6892" s="744"/>
    </row>
    <row r="6893" spans="23:23" ht="24" customHeight="1">
      <c r="W6893" s="744"/>
    </row>
    <row r="6894" spans="23:23" ht="24" customHeight="1">
      <c r="W6894" s="744"/>
    </row>
    <row r="6895" spans="23:23" ht="24" customHeight="1">
      <c r="W6895" s="744"/>
    </row>
    <row r="6896" spans="23:23" ht="24" customHeight="1">
      <c r="W6896" s="744"/>
    </row>
    <row r="6897" spans="23:23" ht="24" customHeight="1">
      <c r="W6897" s="744"/>
    </row>
    <row r="6898" spans="23:23" ht="24" customHeight="1">
      <c r="W6898" s="744"/>
    </row>
    <row r="6899" spans="23:23" ht="24" customHeight="1">
      <c r="W6899" s="744"/>
    </row>
    <row r="6900" spans="23:23" ht="24" customHeight="1">
      <c r="W6900" s="744"/>
    </row>
    <row r="6901" spans="23:23" ht="24" customHeight="1">
      <c r="W6901" s="744"/>
    </row>
    <row r="6902" spans="23:23" ht="24" customHeight="1">
      <c r="W6902" s="744"/>
    </row>
    <row r="6903" spans="23:23" ht="24" customHeight="1">
      <c r="W6903" s="744"/>
    </row>
    <row r="6904" spans="23:23" ht="24" customHeight="1">
      <c r="W6904" s="744"/>
    </row>
    <row r="6905" spans="23:23" ht="24" customHeight="1">
      <c r="W6905" s="744"/>
    </row>
    <row r="6906" spans="23:23" ht="24" customHeight="1">
      <c r="W6906" s="744"/>
    </row>
    <row r="6907" spans="23:23" ht="24" customHeight="1">
      <c r="W6907" s="744"/>
    </row>
    <row r="6908" spans="23:23" ht="24" customHeight="1">
      <c r="W6908" s="744"/>
    </row>
    <row r="6909" spans="23:23" ht="24" customHeight="1">
      <c r="W6909" s="744"/>
    </row>
    <row r="6910" spans="23:23" ht="24" customHeight="1">
      <c r="W6910" s="744"/>
    </row>
    <row r="6911" spans="23:23" ht="24" customHeight="1">
      <c r="W6911" s="744"/>
    </row>
    <row r="6912" spans="23:23" ht="24" customHeight="1">
      <c r="W6912" s="744"/>
    </row>
    <row r="6913" spans="23:23" ht="24" customHeight="1">
      <c r="W6913" s="744"/>
    </row>
    <row r="6914" spans="23:23" ht="24" customHeight="1">
      <c r="W6914" s="744"/>
    </row>
    <row r="6915" spans="23:23" ht="24" customHeight="1">
      <c r="W6915" s="744"/>
    </row>
    <row r="6916" spans="23:23" ht="24" customHeight="1">
      <c r="W6916" s="744"/>
    </row>
    <row r="6917" spans="23:23" ht="24" customHeight="1">
      <c r="W6917" s="744"/>
    </row>
    <row r="6918" spans="23:23" ht="24" customHeight="1">
      <c r="W6918" s="744"/>
    </row>
    <row r="6919" spans="23:23" ht="24" customHeight="1">
      <c r="W6919" s="744"/>
    </row>
    <row r="6920" spans="23:23" ht="24" customHeight="1">
      <c r="W6920" s="744"/>
    </row>
    <row r="6921" spans="23:23" ht="24" customHeight="1">
      <c r="W6921" s="744"/>
    </row>
    <row r="6922" spans="23:23" ht="24" customHeight="1">
      <c r="W6922" s="744"/>
    </row>
    <row r="6923" spans="23:23" ht="24" customHeight="1">
      <c r="W6923" s="744"/>
    </row>
    <row r="6924" spans="23:23" ht="24" customHeight="1">
      <c r="W6924" s="744"/>
    </row>
    <row r="6925" spans="23:23" ht="24" customHeight="1">
      <c r="W6925" s="744"/>
    </row>
    <row r="6926" spans="23:23" ht="24" customHeight="1">
      <c r="W6926" s="744"/>
    </row>
    <row r="6927" spans="23:23" ht="24" customHeight="1">
      <c r="W6927" s="744"/>
    </row>
    <row r="6928" spans="23:23" ht="24" customHeight="1">
      <c r="W6928" s="744"/>
    </row>
    <row r="6929" spans="23:23" ht="24" customHeight="1">
      <c r="W6929" s="744"/>
    </row>
    <row r="6930" spans="23:23" ht="24" customHeight="1">
      <c r="W6930" s="744"/>
    </row>
    <row r="6931" spans="23:23" ht="24" customHeight="1">
      <c r="W6931" s="744"/>
    </row>
    <row r="6932" spans="23:23" ht="24" customHeight="1">
      <c r="W6932" s="744"/>
    </row>
    <row r="6933" spans="23:23" ht="24" customHeight="1">
      <c r="W6933" s="744"/>
    </row>
    <row r="6934" spans="23:23" ht="24" customHeight="1">
      <c r="W6934" s="744"/>
    </row>
    <row r="6935" spans="23:23" ht="24" customHeight="1">
      <c r="W6935" s="744"/>
    </row>
    <row r="6936" spans="23:23" ht="24" customHeight="1">
      <c r="W6936" s="744"/>
    </row>
    <row r="6937" spans="23:23" ht="24" customHeight="1">
      <c r="W6937" s="744"/>
    </row>
    <row r="6938" spans="23:23" ht="24" customHeight="1">
      <c r="W6938" s="744"/>
    </row>
    <row r="6939" spans="23:23" ht="24" customHeight="1">
      <c r="W6939" s="744"/>
    </row>
    <row r="6940" spans="23:23" ht="24" customHeight="1">
      <c r="W6940" s="744"/>
    </row>
    <row r="6941" spans="23:23" ht="24" customHeight="1">
      <c r="W6941" s="744"/>
    </row>
    <row r="6942" spans="23:23" ht="24" customHeight="1">
      <c r="W6942" s="744"/>
    </row>
    <row r="6943" spans="23:23" ht="24" customHeight="1">
      <c r="W6943" s="744"/>
    </row>
    <row r="6944" spans="23:23" ht="24" customHeight="1">
      <c r="W6944" s="744"/>
    </row>
    <row r="6945" spans="23:23" ht="24" customHeight="1">
      <c r="W6945" s="744"/>
    </row>
    <row r="6946" spans="23:23" ht="24" customHeight="1">
      <c r="W6946" s="744"/>
    </row>
    <row r="6947" spans="23:23" ht="24" customHeight="1">
      <c r="W6947" s="744"/>
    </row>
    <row r="6948" spans="23:23" ht="24" customHeight="1">
      <c r="W6948" s="744"/>
    </row>
    <row r="6949" spans="23:23" ht="24" customHeight="1">
      <c r="W6949" s="744"/>
    </row>
    <row r="6950" spans="23:23" ht="24" customHeight="1">
      <c r="W6950" s="744"/>
    </row>
    <row r="6951" spans="23:23" ht="24" customHeight="1">
      <c r="W6951" s="744"/>
    </row>
    <row r="6952" spans="23:23" ht="24" customHeight="1">
      <c r="W6952" s="744"/>
    </row>
    <row r="6953" spans="23:23" ht="24" customHeight="1">
      <c r="W6953" s="744"/>
    </row>
    <row r="6954" spans="23:23" ht="24" customHeight="1">
      <c r="W6954" s="744"/>
    </row>
    <row r="6955" spans="23:23" ht="24" customHeight="1">
      <c r="W6955" s="744"/>
    </row>
    <row r="6956" spans="23:23" ht="24" customHeight="1">
      <c r="W6956" s="744"/>
    </row>
    <row r="6957" spans="23:23" ht="24" customHeight="1">
      <c r="W6957" s="744"/>
    </row>
    <row r="6958" spans="23:23" ht="24" customHeight="1">
      <c r="W6958" s="744"/>
    </row>
    <row r="6959" spans="23:23" ht="24" customHeight="1">
      <c r="W6959" s="744"/>
    </row>
    <row r="6960" spans="23:23" ht="24" customHeight="1">
      <c r="W6960" s="744"/>
    </row>
    <row r="6961" spans="23:23" ht="24" customHeight="1">
      <c r="W6961" s="744"/>
    </row>
    <row r="6962" spans="23:23" ht="24" customHeight="1">
      <c r="W6962" s="744"/>
    </row>
    <row r="6963" spans="23:23" ht="24" customHeight="1">
      <c r="W6963" s="744"/>
    </row>
    <row r="6964" spans="23:23" ht="24" customHeight="1">
      <c r="W6964" s="744"/>
    </row>
    <row r="6965" spans="23:23" ht="24" customHeight="1">
      <c r="W6965" s="744"/>
    </row>
    <row r="6966" spans="23:23" ht="24" customHeight="1">
      <c r="W6966" s="744"/>
    </row>
    <row r="6967" spans="23:23" ht="24" customHeight="1">
      <c r="W6967" s="744"/>
    </row>
    <row r="6968" spans="23:23" ht="24" customHeight="1">
      <c r="W6968" s="744"/>
    </row>
    <row r="6969" spans="23:23" ht="24" customHeight="1">
      <c r="W6969" s="744"/>
    </row>
    <row r="6970" spans="23:23" ht="24" customHeight="1">
      <c r="W6970" s="744"/>
    </row>
    <row r="6971" spans="23:23" ht="24" customHeight="1">
      <c r="W6971" s="744"/>
    </row>
    <row r="6972" spans="23:23" ht="24" customHeight="1">
      <c r="W6972" s="744"/>
    </row>
    <row r="6973" spans="23:23" ht="24" customHeight="1">
      <c r="W6973" s="744"/>
    </row>
    <row r="6974" spans="23:23" ht="24" customHeight="1">
      <c r="W6974" s="744"/>
    </row>
    <row r="6975" spans="23:23" ht="24" customHeight="1">
      <c r="W6975" s="744"/>
    </row>
    <row r="6976" spans="23:23" ht="24" customHeight="1">
      <c r="W6976" s="744"/>
    </row>
    <row r="6977" spans="23:23" ht="24" customHeight="1">
      <c r="W6977" s="744"/>
    </row>
    <row r="6978" spans="23:23" ht="24" customHeight="1">
      <c r="W6978" s="744"/>
    </row>
    <row r="6979" spans="23:23" ht="24" customHeight="1">
      <c r="W6979" s="744"/>
    </row>
    <row r="6980" spans="23:23" ht="24" customHeight="1">
      <c r="W6980" s="744"/>
    </row>
    <row r="6981" spans="23:23" ht="24" customHeight="1">
      <c r="W6981" s="744"/>
    </row>
    <row r="6982" spans="23:23" ht="24" customHeight="1">
      <c r="W6982" s="744"/>
    </row>
    <row r="6983" spans="23:23" ht="24" customHeight="1">
      <c r="W6983" s="744"/>
    </row>
    <row r="6984" spans="23:23" ht="24" customHeight="1">
      <c r="W6984" s="744"/>
    </row>
    <row r="6985" spans="23:23" ht="24" customHeight="1">
      <c r="W6985" s="744"/>
    </row>
    <row r="6986" spans="23:23" ht="24" customHeight="1">
      <c r="W6986" s="744"/>
    </row>
    <row r="6987" spans="23:23" ht="24" customHeight="1">
      <c r="W6987" s="744"/>
    </row>
    <row r="6988" spans="23:23" ht="24" customHeight="1">
      <c r="W6988" s="744"/>
    </row>
    <row r="6989" spans="23:23" ht="24" customHeight="1">
      <c r="W6989" s="744"/>
    </row>
    <row r="6990" spans="23:23" ht="24" customHeight="1">
      <c r="W6990" s="744"/>
    </row>
    <row r="6991" spans="23:23" ht="24" customHeight="1">
      <c r="W6991" s="744"/>
    </row>
    <row r="6992" spans="23:23" ht="24" customHeight="1">
      <c r="W6992" s="744"/>
    </row>
    <row r="6993" spans="23:23" ht="24" customHeight="1">
      <c r="W6993" s="744"/>
    </row>
    <row r="6994" spans="23:23" ht="24" customHeight="1">
      <c r="W6994" s="744"/>
    </row>
    <row r="6995" spans="23:23" ht="24" customHeight="1">
      <c r="W6995" s="744"/>
    </row>
    <row r="6996" spans="23:23" ht="24" customHeight="1">
      <c r="W6996" s="744"/>
    </row>
    <row r="6997" spans="23:23" ht="24" customHeight="1">
      <c r="W6997" s="744"/>
    </row>
    <row r="6998" spans="23:23" ht="24" customHeight="1">
      <c r="W6998" s="744"/>
    </row>
    <row r="6999" spans="23:23" ht="24" customHeight="1">
      <c r="W6999" s="744"/>
    </row>
    <row r="7000" spans="23:23" ht="24" customHeight="1">
      <c r="W7000" s="744"/>
    </row>
    <row r="7001" spans="23:23" ht="24" customHeight="1">
      <c r="W7001" s="744"/>
    </row>
    <row r="7002" spans="23:23" ht="24" customHeight="1">
      <c r="W7002" s="744"/>
    </row>
    <row r="7003" spans="23:23" ht="24" customHeight="1">
      <c r="W7003" s="744"/>
    </row>
    <row r="7004" spans="23:23" ht="24" customHeight="1">
      <c r="W7004" s="744"/>
    </row>
    <row r="7005" spans="23:23" ht="24" customHeight="1">
      <c r="W7005" s="744"/>
    </row>
    <row r="7006" spans="23:23" ht="24" customHeight="1">
      <c r="W7006" s="744"/>
    </row>
    <row r="7007" spans="23:23" ht="24" customHeight="1">
      <c r="W7007" s="744"/>
    </row>
    <row r="7008" spans="23:23" ht="24" customHeight="1">
      <c r="W7008" s="744"/>
    </row>
    <row r="7009" spans="23:23" ht="24" customHeight="1">
      <c r="W7009" s="744"/>
    </row>
    <row r="7010" spans="23:23" ht="24" customHeight="1">
      <c r="W7010" s="744"/>
    </row>
    <row r="7011" spans="23:23" ht="24" customHeight="1">
      <c r="W7011" s="744"/>
    </row>
    <row r="7012" spans="23:23" ht="24" customHeight="1">
      <c r="W7012" s="744"/>
    </row>
    <row r="7013" spans="23:23" ht="24" customHeight="1">
      <c r="W7013" s="744"/>
    </row>
    <row r="7014" spans="23:23" ht="24" customHeight="1">
      <c r="W7014" s="744"/>
    </row>
    <row r="7015" spans="23:23" ht="24" customHeight="1">
      <c r="W7015" s="744"/>
    </row>
    <row r="7016" spans="23:23" ht="24" customHeight="1">
      <c r="W7016" s="744"/>
    </row>
    <row r="7017" spans="23:23" ht="24" customHeight="1">
      <c r="W7017" s="744"/>
    </row>
    <row r="7018" spans="23:23" ht="24" customHeight="1">
      <c r="W7018" s="744"/>
    </row>
    <row r="7019" spans="23:23" ht="24" customHeight="1">
      <c r="W7019" s="744"/>
    </row>
    <row r="7020" spans="23:23" ht="24" customHeight="1">
      <c r="W7020" s="744"/>
    </row>
    <row r="7021" spans="23:23" ht="24" customHeight="1">
      <c r="W7021" s="744"/>
    </row>
    <row r="7022" spans="23:23" ht="24" customHeight="1">
      <c r="W7022" s="744"/>
    </row>
    <row r="7023" spans="23:23" ht="24" customHeight="1">
      <c r="W7023" s="744"/>
    </row>
    <row r="7024" spans="23:23" ht="24" customHeight="1">
      <c r="W7024" s="744"/>
    </row>
    <row r="7025" spans="23:23" ht="24" customHeight="1">
      <c r="W7025" s="744"/>
    </row>
    <row r="7026" spans="23:23" ht="24" customHeight="1">
      <c r="W7026" s="744"/>
    </row>
    <row r="7027" spans="23:23" ht="24" customHeight="1">
      <c r="W7027" s="744"/>
    </row>
    <row r="7028" spans="23:23" ht="24" customHeight="1">
      <c r="W7028" s="744"/>
    </row>
    <row r="7029" spans="23:23" ht="24" customHeight="1">
      <c r="W7029" s="744"/>
    </row>
    <row r="7030" spans="23:23" ht="24" customHeight="1">
      <c r="W7030" s="744"/>
    </row>
    <row r="7031" spans="23:23" ht="24" customHeight="1">
      <c r="W7031" s="744"/>
    </row>
    <row r="7032" spans="23:23" ht="24" customHeight="1">
      <c r="W7032" s="744"/>
    </row>
    <row r="7033" spans="23:23" ht="24" customHeight="1">
      <c r="W7033" s="744"/>
    </row>
    <row r="7034" spans="23:23" ht="24" customHeight="1">
      <c r="W7034" s="744"/>
    </row>
    <row r="7035" spans="23:23" ht="24" customHeight="1">
      <c r="W7035" s="744"/>
    </row>
    <row r="7036" spans="23:23" ht="24" customHeight="1">
      <c r="W7036" s="744"/>
    </row>
    <row r="7037" spans="23:23" ht="24" customHeight="1">
      <c r="W7037" s="744"/>
    </row>
    <row r="7038" spans="23:23" ht="24" customHeight="1">
      <c r="W7038" s="744"/>
    </row>
    <row r="7039" spans="23:23" ht="24" customHeight="1">
      <c r="W7039" s="744"/>
    </row>
    <row r="7040" spans="23:23" ht="24" customHeight="1">
      <c r="W7040" s="744"/>
    </row>
    <row r="7041" spans="23:23" ht="24" customHeight="1">
      <c r="W7041" s="744"/>
    </row>
    <row r="7042" spans="23:23" ht="24" customHeight="1">
      <c r="W7042" s="744"/>
    </row>
    <row r="7043" spans="23:23" ht="24" customHeight="1">
      <c r="W7043" s="744"/>
    </row>
    <row r="7044" spans="23:23" ht="24" customHeight="1">
      <c r="W7044" s="744"/>
    </row>
    <row r="7045" spans="23:23" ht="24" customHeight="1">
      <c r="W7045" s="744"/>
    </row>
    <row r="7046" spans="23:23" ht="24" customHeight="1">
      <c r="W7046" s="744"/>
    </row>
    <row r="7047" spans="23:23" ht="24" customHeight="1">
      <c r="W7047" s="744"/>
    </row>
    <row r="7048" spans="23:23" ht="24" customHeight="1">
      <c r="W7048" s="744"/>
    </row>
    <row r="7049" spans="23:23" ht="24" customHeight="1">
      <c r="W7049" s="744"/>
    </row>
    <row r="7050" spans="23:23" ht="24" customHeight="1">
      <c r="W7050" s="744"/>
    </row>
    <row r="7051" spans="23:23" ht="24" customHeight="1">
      <c r="W7051" s="744"/>
    </row>
    <row r="7052" spans="23:23" ht="24" customHeight="1">
      <c r="W7052" s="744"/>
    </row>
    <row r="7053" spans="23:23" ht="24" customHeight="1">
      <c r="W7053" s="744"/>
    </row>
    <row r="7054" spans="23:23" ht="24" customHeight="1">
      <c r="W7054" s="744"/>
    </row>
    <row r="7055" spans="23:23" ht="24" customHeight="1">
      <c r="W7055" s="744"/>
    </row>
    <row r="7056" spans="23:23" ht="24" customHeight="1">
      <c r="W7056" s="744"/>
    </row>
    <row r="7057" spans="23:23" ht="24" customHeight="1">
      <c r="W7057" s="744"/>
    </row>
    <row r="7058" spans="23:23" ht="24" customHeight="1">
      <c r="W7058" s="744"/>
    </row>
    <row r="7059" spans="23:23" ht="24" customHeight="1">
      <c r="W7059" s="744"/>
    </row>
    <row r="7060" spans="23:23" ht="24" customHeight="1">
      <c r="W7060" s="744"/>
    </row>
    <row r="7061" spans="23:23" ht="24" customHeight="1">
      <c r="W7061" s="744"/>
    </row>
    <row r="7062" spans="23:23" ht="24" customHeight="1">
      <c r="W7062" s="744"/>
    </row>
    <row r="7063" spans="23:23" ht="24" customHeight="1">
      <c r="W7063" s="744"/>
    </row>
    <row r="7064" spans="23:23" ht="24" customHeight="1">
      <c r="W7064" s="744"/>
    </row>
    <row r="7065" spans="23:23" ht="24" customHeight="1">
      <c r="W7065" s="744"/>
    </row>
    <row r="7066" spans="23:23" ht="24" customHeight="1">
      <c r="W7066" s="744"/>
    </row>
    <row r="7067" spans="23:23" ht="24" customHeight="1">
      <c r="W7067" s="744"/>
    </row>
    <row r="7068" spans="23:23" ht="24" customHeight="1">
      <c r="W7068" s="744"/>
    </row>
    <row r="7069" spans="23:23" ht="24" customHeight="1">
      <c r="W7069" s="744"/>
    </row>
    <row r="7070" spans="23:23" ht="24" customHeight="1">
      <c r="W7070" s="744"/>
    </row>
    <row r="7071" spans="23:23" ht="24" customHeight="1">
      <c r="W7071" s="744"/>
    </row>
    <row r="7072" spans="23:23" ht="24" customHeight="1">
      <c r="W7072" s="744"/>
    </row>
    <row r="7073" spans="23:23" ht="24" customHeight="1">
      <c r="W7073" s="744"/>
    </row>
    <row r="7074" spans="23:23" ht="24" customHeight="1">
      <c r="W7074" s="744"/>
    </row>
    <row r="7075" spans="23:23" ht="24" customHeight="1">
      <c r="W7075" s="744"/>
    </row>
    <row r="7076" spans="23:23" ht="24" customHeight="1">
      <c r="W7076" s="744"/>
    </row>
    <row r="7077" spans="23:23" ht="24" customHeight="1">
      <c r="W7077" s="744"/>
    </row>
    <row r="7078" spans="23:23" ht="24" customHeight="1">
      <c r="W7078" s="744"/>
    </row>
    <row r="7079" spans="23:23" ht="24" customHeight="1">
      <c r="W7079" s="744"/>
    </row>
    <row r="7080" spans="23:23" ht="24" customHeight="1">
      <c r="W7080" s="744"/>
    </row>
    <row r="7081" spans="23:23" ht="24" customHeight="1">
      <c r="W7081" s="744"/>
    </row>
    <row r="7082" spans="23:23" ht="24" customHeight="1">
      <c r="W7082" s="744"/>
    </row>
    <row r="7083" spans="23:23" ht="24" customHeight="1">
      <c r="W7083" s="744"/>
    </row>
    <row r="7084" spans="23:23" ht="24" customHeight="1">
      <c r="W7084" s="744"/>
    </row>
    <row r="7085" spans="23:23" ht="24" customHeight="1">
      <c r="W7085" s="744"/>
    </row>
    <row r="7086" spans="23:23" ht="24" customHeight="1">
      <c r="W7086" s="744"/>
    </row>
    <row r="7087" spans="23:23" ht="24" customHeight="1">
      <c r="W7087" s="744"/>
    </row>
    <row r="7088" spans="23:23" ht="24" customHeight="1">
      <c r="W7088" s="744"/>
    </row>
    <row r="7089" spans="23:23" ht="24" customHeight="1">
      <c r="W7089" s="744"/>
    </row>
    <row r="7090" spans="23:23" ht="24" customHeight="1">
      <c r="W7090" s="744"/>
    </row>
    <row r="7091" spans="23:23" ht="24" customHeight="1">
      <c r="W7091" s="744"/>
    </row>
    <row r="7092" spans="23:23" ht="24" customHeight="1">
      <c r="W7092" s="744"/>
    </row>
    <row r="7093" spans="23:23" ht="24" customHeight="1">
      <c r="W7093" s="744"/>
    </row>
    <row r="7094" spans="23:23" ht="24" customHeight="1">
      <c r="W7094" s="744"/>
    </row>
    <row r="7095" spans="23:23" ht="24" customHeight="1">
      <c r="W7095" s="744"/>
    </row>
    <row r="7096" spans="23:23" ht="24" customHeight="1">
      <c r="W7096" s="744"/>
    </row>
    <row r="7097" spans="23:23" ht="24" customHeight="1">
      <c r="W7097" s="744"/>
    </row>
    <row r="7098" spans="23:23" ht="24" customHeight="1">
      <c r="W7098" s="744"/>
    </row>
    <row r="7099" spans="23:23" ht="24" customHeight="1">
      <c r="W7099" s="744"/>
    </row>
    <row r="7100" spans="23:23" ht="24" customHeight="1">
      <c r="W7100" s="744"/>
    </row>
    <row r="7101" spans="23:23" ht="24" customHeight="1">
      <c r="W7101" s="744"/>
    </row>
    <row r="7102" spans="23:23" ht="24" customHeight="1">
      <c r="W7102" s="744"/>
    </row>
    <row r="7103" spans="23:23" ht="24" customHeight="1">
      <c r="W7103" s="744"/>
    </row>
    <row r="7104" spans="23:23" ht="24" customHeight="1">
      <c r="W7104" s="744"/>
    </row>
    <row r="7105" spans="23:23" ht="24" customHeight="1">
      <c r="W7105" s="744"/>
    </row>
    <row r="7106" spans="23:23" ht="24" customHeight="1">
      <c r="W7106" s="744"/>
    </row>
    <row r="7107" spans="23:23" ht="24" customHeight="1">
      <c r="W7107" s="744"/>
    </row>
    <row r="7108" spans="23:23" ht="24" customHeight="1">
      <c r="W7108" s="744"/>
    </row>
    <row r="7109" spans="23:23" ht="24" customHeight="1">
      <c r="W7109" s="744"/>
    </row>
    <row r="7110" spans="23:23" ht="24" customHeight="1">
      <c r="W7110" s="744"/>
    </row>
    <row r="7111" spans="23:23" ht="24" customHeight="1">
      <c r="W7111" s="744"/>
    </row>
    <row r="7112" spans="23:23" ht="24" customHeight="1">
      <c r="W7112" s="744"/>
    </row>
    <row r="7113" spans="23:23" ht="24" customHeight="1">
      <c r="W7113" s="744"/>
    </row>
    <row r="7114" spans="23:23" ht="24" customHeight="1">
      <c r="W7114" s="744"/>
    </row>
    <row r="7115" spans="23:23" ht="24" customHeight="1">
      <c r="W7115" s="744"/>
    </row>
    <row r="7116" spans="23:23" ht="24" customHeight="1">
      <c r="W7116" s="744"/>
    </row>
    <row r="7117" spans="23:23" ht="24" customHeight="1">
      <c r="W7117" s="744"/>
    </row>
    <row r="7118" spans="23:23" ht="24" customHeight="1">
      <c r="W7118" s="744"/>
    </row>
    <row r="7119" spans="23:23" ht="24" customHeight="1">
      <c r="W7119" s="744"/>
    </row>
    <row r="7120" spans="23:23" ht="24" customHeight="1">
      <c r="W7120" s="744"/>
    </row>
    <row r="7121" spans="23:23" ht="24" customHeight="1">
      <c r="W7121" s="744"/>
    </row>
    <row r="7122" spans="23:23" ht="24" customHeight="1">
      <c r="W7122" s="744"/>
    </row>
    <row r="7123" spans="23:23" ht="24" customHeight="1">
      <c r="W7123" s="744"/>
    </row>
    <row r="7124" spans="23:23" ht="24" customHeight="1">
      <c r="W7124" s="744"/>
    </row>
    <row r="7125" spans="23:23" ht="24" customHeight="1">
      <c r="W7125" s="744"/>
    </row>
    <row r="7126" spans="23:23" ht="24" customHeight="1">
      <c r="W7126" s="744"/>
    </row>
    <row r="7127" spans="23:23" ht="24" customHeight="1">
      <c r="W7127" s="744"/>
    </row>
    <row r="7128" spans="23:23" ht="24" customHeight="1">
      <c r="W7128" s="744"/>
    </row>
    <row r="7129" spans="23:23" ht="24" customHeight="1">
      <c r="W7129" s="744"/>
    </row>
    <row r="7130" spans="23:23" ht="24" customHeight="1">
      <c r="W7130" s="744"/>
    </row>
    <row r="7131" spans="23:23" ht="24" customHeight="1">
      <c r="W7131" s="744"/>
    </row>
    <row r="7132" spans="23:23" ht="24" customHeight="1">
      <c r="W7132" s="744"/>
    </row>
    <row r="7133" spans="23:23" ht="24" customHeight="1">
      <c r="W7133" s="744"/>
    </row>
    <row r="7134" spans="23:23" ht="24" customHeight="1">
      <c r="W7134" s="744"/>
    </row>
    <row r="7135" spans="23:23" ht="24" customHeight="1">
      <c r="W7135" s="744"/>
    </row>
    <row r="7136" spans="23:23" ht="24" customHeight="1">
      <c r="W7136" s="744"/>
    </row>
    <row r="7137" spans="23:23" ht="24" customHeight="1">
      <c r="W7137" s="744"/>
    </row>
    <row r="7138" spans="23:23" ht="24" customHeight="1">
      <c r="W7138" s="744"/>
    </row>
    <row r="7139" spans="23:23" ht="24" customHeight="1">
      <c r="W7139" s="744"/>
    </row>
    <row r="7140" spans="23:23" ht="24" customHeight="1">
      <c r="W7140" s="744"/>
    </row>
    <row r="7141" spans="23:23" ht="24" customHeight="1">
      <c r="W7141" s="744"/>
    </row>
    <row r="7142" spans="23:23" ht="24" customHeight="1">
      <c r="W7142" s="744"/>
    </row>
    <row r="7143" spans="23:23" ht="24" customHeight="1">
      <c r="W7143" s="744"/>
    </row>
    <row r="7144" spans="23:23" ht="24" customHeight="1">
      <c r="W7144" s="744"/>
    </row>
    <row r="7145" spans="23:23" ht="24" customHeight="1">
      <c r="W7145" s="744"/>
    </row>
    <row r="7146" spans="23:23" ht="24" customHeight="1">
      <c r="W7146" s="744"/>
    </row>
    <row r="7147" spans="23:23" ht="24" customHeight="1">
      <c r="W7147" s="744"/>
    </row>
    <row r="7148" spans="23:23" ht="24" customHeight="1">
      <c r="W7148" s="744"/>
    </row>
    <row r="7149" spans="23:23" ht="24" customHeight="1">
      <c r="W7149" s="744"/>
    </row>
    <row r="7150" spans="23:23" ht="24" customHeight="1">
      <c r="W7150" s="744"/>
    </row>
    <row r="7151" spans="23:23" ht="24" customHeight="1">
      <c r="W7151" s="744"/>
    </row>
    <row r="7152" spans="23:23" ht="24" customHeight="1">
      <c r="W7152" s="744"/>
    </row>
    <row r="7153" spans="23:23" ht="24" customHeight="1">
      <c r="W7153" s="744"/>
    </row>
    <row r="7154" spans="23:23" ht="24" customHeight="1">
      <c r="W7154" s="744"/>
    </row>
    <row r="7155" spans="23:23" ht="24" customHeight="1">
      <c r="W7155" s="744"/>
    </row>
    <row r="7156" spans="23:23" ht="24" customHeight="1">
      <c r="W7156" s="744"/>
    </row>
    <row r="7157" spans="23:23" ht="24" customHeight="1">
      <c r="W7157" s="744"/>
    </row>
    <row r="7158" spans="23:23" ht="24" customHeight="1">
      <c r="W7158" s="744"/>
    </row>
    <row r="7159" spans="23:23" ht="24" customHeight="1">
      <c r="W7159" s="744"/>
    </row>
    <row r="7160" spans="23:23" ht="24" customHeight="1">
      <c r="W7160" s="744"/>
    </row>
    <row r="7161" spans="23:23" ht="24" customHeight="1">
      <c r="W7161" s="744"/>
    </row>
    <row r="7162" spans="23:23" ht="24" customHeight="1">
      <c r="W7162" s="744"/>
    </row>
    <row r="7163" spans="23:23" ht="24" customHeight="1">
      <c r="W7163" s="744"/>
    </row>
    <row r="7164" spans="23:23" ht="24" customHeight="1">
      <c r="W7164" s="744"/>
    </row>
    <row r="7165" spans="23:23" ht="24" customHeight="1">
      <c r="W7165" s="744"/>
    </row>
    <row r="7166" spans="23:23" ht="24" customHeight="1">
      <c r="W7166" s="744"/>
    </row>
    <row r="7167" spans="23:23" ht="24" customHeight="1">
      <c r="W7167" s="744"/>
    </row>
    <row r="7168" spans="23:23" ht="24" customHeight="1">
      <c r="W7168" s="744"/>
    </row>
    <row r="7169" spans="23:23" ht="24" customHeight="1">
      <c r="W7169" s="744"/>
    </row>
    <row r="7170" spans="23:23" ht="24" customHeight="1">
      <c r="W7170" s="744"/>
    </row>
    <row r="7171" spans="23:23" ht="24" customHeight="1">
      <c r="W7171" s="744"/>
    </row>
    <row r="7172" spans="23:23" ht="24" customHeight="1">
      <c r="W7172" s="744"/>
    </row>
    <row r="7173" spans="23:23" ht="24" customHeight="1">
      <c r="W7173" s="744"/>
    </row>
    <row r="7174" spans="23:23" ht="24" customHeight="1">
      <c r="W7174" s="744"/>
    </row>
    <row r="7175" spans="23:23" ht="24" customHeight="1">
      <c r="W7175" s="744"/>
    </row>
    <row r="7176" spans="23:23" ht="24" customHeight="1">
      <c r="W7176" s="744"/>
    </row>
    <row r="7177" spans="23:23" ht="24" customHeight="1">
      <c r="W7177" s="744"/>
    </row>
    <row r="7178" spans="23:23" ht="24" customHeight="1">
      <c r="W7178" s="744"/>
    </row>
    <row r="7179" spans="23:23" ht="24" customHeight="1">
      <c r="W7179" s="744"/>
    </row>
    <row r="7180" spans="23:23" ht="24" customHeight="1">
      <c r="W7180" s="744"/>
    </row>
    <row r="7181" spans="23:23" ht="24" customHeight="1">
      <c r="W7181" s="744"/>
    </row>
    <row r="7182" spans="23:23" ht="24" customHeight="1">
      <c r="W7182" s="744"/>
    </row>
    <row r="7183" spans="23:23" ht="24" customHeight="1">
      <c r="W7183" s="744"/>
    </row>
    <row r="7184" spans="23:23" ht="24" customHeight="1">
      <c r="W7184" s="744"/>
    </row>
    <row r="7185" spans="23:23" ht="24" customHeight="1">
      <c r="W7185" s="744"/>
    </row>
    <row r="7186" spans="23:23" ht="24" customHeight="1">
      <c r="W7186" s="744"/>
    </row>
    <row r="7187" spans="23:23" ht="24" customHeight="1">
      <c r="W7187" s="744"/>
    </row>
    <row r="7188" spans="23:23" ht="24" customHeight="1">
      <c r="W7188" s="744"/>
    </row>
    <row r="7189" spans="23:23" ht="24" customHeight="1">
      <c r="W7189" s="744"/>
    </row>
    <row r="7190" spans="23:23" ht="24" customHeight="1">
      <c r="W7190" s="744"/>
    </row>
    <row r="7191" spans="23:23" ht="24" customHeight="1">
      <c r="W7191" s="744"/>
    </row>
    <row r="7192" spans="23:23" ht="24" customHeight="1">
      <c r="W7192" s="744"/>
    </row>
    <row r="7193" spans="23:23" ht="24" customHeight="1">
      <c r="W7193" s="744"/>
    </row>
    <row r="7194" spans="23:23" ht="24" customHeight="1">
      <c r="W7194" s="744"/>
    </row>
    <row r="7195" spans="23:23" ht="24" customHeight="1">
      <c r="W7195" s="744"/>
    </row>
    <row r="7196" spans="23:23" ht="24" customHeight="1">
      <c r="W7196" s="744"/>
    </row>
    <row r="7197" spans="23:23" ht="24" customHeight="1">
      <c r="W7197" s="744"/>
    </row>
    <row r="7198" spans="23:23" ht="24" customHeight="1">
      <c r="W7198" s="744"/>
    </row>
    <row r="7199" spans="23:23" ht="24" customHeight="1">
      <c r="W7199" s="744"/>
    </row>
    <row r="7200" spans="23:23" ht="24" customHeight="1">
      <c r="W7200" s="744"/>
    </row>
    <row r="7201" spans="23:23" ht="24" customHeight="1">
      <c r="W7201" s="744"/>
    </row>
    <row r="7202" spans="23:23" ht="24" customHeight="1">
      <c r="W7202" s="744"/>
    </row>
    <row r="7203" spans="23:23" ht="24" customHeight="1">
      <c r="W7203" s="744"/>
    </row>
    <row r="7204" spans="23:23" ht="24" customHeight="1">
      <c r="W7204" s="744"/>
    </row>
    <row r="7205" spans="23:23" ht="24" customHeight="1">
      <c r="W7205" s="744"/>
    </row>
    <row r="7206" spans="23:23" ht="24" customHeight="1">
      <c r="W7206" s="744"/>
    </row>
    <row r="7207" spans="23:23" ht="24" customHeight="1">
      <c r="W7207" s="744"/>
    </row>
    <row r="7208" spans="23:23" ht="24" customHeight="1">
      <c r="W7208" s="744"/>
    </row>
    <row r="7209" spans="23:23" ht="24" customHeight="1">
      <c r="W7209" s="744"/>
    </row>
    <row r="7210" spans="23:23" ht="24" customHeight="1">
      <c r="W7210" s="744"/>
    </row>
    <row r="7211" spans="23:23" ht="24" customHeight="1">
      <c r="W7211" s="744"/>
    </row>
    <row r="7212" spans="23:23" ht="24" customHeight="1">
      <c r="W7212" s="744"/>
    </row>
    <row r="7213" spans="23:23" ht="24" customHeight="1">
      <c r="W7213" s="744"/>
    </row>
    <row r="7214" spans="23:23" ht="24" customHeight="1">
      <c r="W7214" s="744"/>
    </row>
    <row r="7215" spans="23:23" ht="24" customHeight="1">
      <c r="W7215" s="744"/>
    </row>
    <row r="7216" spans="23:23" ht="24" customHeight="1">
      <c r="W7216" s="744"/>
    </row>
    <row r="7217" spans="23:23" ht="24" customHeight="1">
      <c r="W7217" s="744"/>
    </row>
    <row r="7218" spans="23:23" ht="24" customHeight="1">
      <c r="W7218" s="744"/>
    </row>
    <row r="7219" spans="23:23" ht="24" customHeight="1">
      <c r="W7219" s="744"/>
    </row>
    <row r="7220" spans="23:23" ht="24" customHeight="1">
      <c r="W7220" s="744"/>
    </row>
    <row r="7221" spans="23:23" ht="24" customHeight="1">
      <c r="W7221" s="744"/>
    </row>
    <row r="7222" spans="23:23" ht="24" customHeight="1">
      <c r="W7222" s="744"/>
    </row>
    <row r="7223" spans="23:23" ht="24" customHeight="1">
      <c r="W7223" s="744"/>
    </row>
    <row r="7224" spans="23:23" ht="24" customHeight="1">
      <c r="W7224" s="744"/>
    </row>
    <row r="7225" spans="23:23" ht="24" customHeight="1">
      <c r="W7225" s="744"/>
    </row>
    <row r="7226" spans="23:23" ht="24" customHeight="1">
      <c r="W7226" s="744"/>
    </row>
    <row r="7227" spans="23:23" ht="24" customHeight="1">
      <c r="W7227" s="744"/>
    </row>
    <row r="7228" spans="23:23" ht="24" customHeight="1">
      <c r="W7228" s="744"/>
    </row>
    <row r="7229" spans="23:23" ht="24" customHeight="1">
      <c r="W7229" s="744"/>
    </row>
    <row r="7230" spans="23:23" ht="24" customHeight="1">
      <c r="W7230" s="744"/>
    </row>
    <row r="7231" spans="23:23" ht="24" customHeight="1">
      <c r="W7231" s="744"/>
    </row>
    <row r="7232" spans="23:23" ht="24" customHeight="1">
      <c r="W7232" s="744"/>
    </row>
    <row r="7233" spans="23:23" ht="24" customHeight="1">
      <c r="W7233" s="744"/>
    </row>
    <row r="7234" spans="23:23" ht="24" customHeight="1">
      <c r="W7234" s="744"/>
    </row>
    <row r="7235" spans="23:23" ht="24" customHeight="1">
      <c r="W7235" s="744"/>
    </row>
    <row r="7236" spans="23:23" ht="24" customHeight="1">
      <c r="W7236" s="744"/>
    </row>
    <row r="7237" spans="23:23" ht="24" customHeight="1">
      <c r="W7237" s="744"/>
    </row>
    <row r="7238" spans="23:23" ht="24" customHeight="1">
      <c r="W7238" s="744"/>
    </row>
    <row r="7239" spans="23:23" ht="24" customHeight="1">
      <c r="W7239" s="744"/>
    </row>
    <row r="7240" spans="23:23" ht="24" customHeight="1">
      <c r="W7240" s="744"/>
    </row>
    <row r="7241" spans="23:23" ht="24" customHeight="1">
      <c r="W7241" s="744"/>
    </row>
    <row r="7242" spans="23:23" ht="24" customHeight="1">
      <c r="W7242" s="744"/>
    </row>
    <row r="7243" spans="23:23" ht="24" customHeight="1">
      <c r="W7243" s="744"/>
    </row>
    <row r="7244" spans="23:23" ht="24" customHeight="1">
      <c r="W7244" s="744"/>
    </row>
    <row r="7245" spans="23:23" ht="24" customHeight="1">
      <c r="W7245" s="744"/>
    </row>
    <row r="7246" spans="23:23" ht="24" customHeight="1">
      <c r="W7246" s="744"/>
    </row>
    <row r="7247" spans="23:23" ht="24" customHeight="1">
      <c r="W7247" s="744"/>
    </row>
    <row r="7248" spans="23:23" ht="24" customHeight="1">
      <c r="W7248" s="744"/>
    </row>
    <row r="7249" spans="23:23" ht="24" customHeight="1">
      <c r="W7249" s="744"/>
    </row>
    <row r="7250" spans="23:23" ht="24" customHeight="1">
      <c r="W7250" s="744"/>
    </row>
    <row r="7251" spans="23:23" ht="24" customHeight="1">
      <c r="W7251" s="744"/>
    </row>
    <row r="7252" spans="23:23" ht="24" customHeight="1">
      <c r="W7252" s="744"/>
    </row>
    <row r="7253" spans="23:23" ht="24" customHeight="1">
      <c r="W7253" s="744"/>
    </row>
    <row r="7254" spans="23:23" ht="24" customHeight="1">
      <c r="W7254" s="744"/>
    </row>
    <row r="7255" spans="23:23" ht="24" customHeight="1">
      <c r="W7255" s="744"/>
    </row>
    <row r="7256" spans="23:23" ht="24" customHeight="1">
      <c r="W7256" s="744"/>
    </row>
    <row r="7257" spans="23:23" ht="24" customHeight="1">
      <c r="W7257" s="744"/>
    </row>
    <row r="7258" spans="23:23" ht="24" customHeight="1">
      <c r="W7258" s="744"/>
    </row>
    <row r="7259" spans="23:23" ht="24" customHeight="1">
      <c r="W7259" s="744"/>
    </row>
    <row r="7260" spans="23:23" ht="24" customHeight="1">
      <c r="W7260" s="744"/>
    </row>
    <row r="7261" spans="23:23" ht="24" customHeight="1">
      <c r="W7261" s="744"/>
    </row>
    <row r="7262" spans="23:23" ht="24" customHeight="1">
      <c r="W7262" s="744"/>
    </row>
    <row r="7263" spans="23:23" ht="24" customHeight="1">
      <c r="W7263" s="744"/>
    </row>
    <row r="7264" spans="23:23" ht="24" customHeight="1">
      <c r="W7264" s="744"/>
    </row>
    <row r="7265" spans="23:23" ht="24" customHeight="1">
      <c r="W7265" s="744"/>
    </row>
    <row r="7266" spans="23:23" ht="24" customHeight="1">
      <c r="W7266" s="744"/>
    </row>
    <row r="7267" spans="23:23" ht="24" customHeight="1">
      <c r="W7267" s="744"/>
    </row>
    <row r="7268" spans="23:23" ht="24" customHeight="1">
      <c r="W7268" s="744"/>
    </row>
    <row r="7269" spans="23:23" ht="24" customHeight="1">
      <c r="W7269" s="744"/>
    </row>
    <row r="7270" spans="23:23" ht="24" customHeight="1">
      <c r="W7270" s="744"/>
    </row>
    <row r="7271" spans="23:23" ht="24" customHeight="1">
      <c r="W7271" s="744"/>
    </row>
    <row r="7272" spans="23:23" ht="24" customHeight="1">
      <c r="W7272" s="744"/>
    </row>
    <row r="7273" spans="23:23" ht="24" customHeight="1">
      <c r="W7273" s="744"/>
    </row>
    <row r="7274" spans="23:23" ht="24" customHeight="1">
      <c r="W7274" s="744"/>
    </row>
    <row r="7275" spans="23:23" ht="24" customHeight="1">
      <c r="W7275" s="744"/>
    </row>
    <row r="7276" spans="23:23" ht="24" customHeight="1">
      <c r="W7276" s="744"/>
    </row>
    <row r="7277" spans="23:23" ht="24" customHeight="1">
      <c r="W7277" s="744"/>
    </row>
    <row r="7278" spans="23:23" ht="24" customHeight="1">
      <c r="W7278" s="744"/>
    </row>
    <row r="7279" spans="23:23" ht="24" customHeight="1">
      <c r="W7279" s="744"/>
    </row>
    <row r="7280" spans="23:23" ht="24" customHeight="1">
      <c r="W7280" s="744"/>
    </row>
    <row r="7281" spans="23:23" ht="24" customHeight="1">
      <c r="W7281" s="744"/>
    </row>
    <row r="7282" spans="23:23" ht="24" customHeight="1">
      <c r="W7282" s="744"/>
    </row>
    <row r="7283" spans="23:23" ht="24" customHeight="1">
      <c r="W7283" s="744"/>
    </row>
    <row r="7284" spans="23:23" ht="24" customHeight="1">
      <c r="W7284" s="744"/>
    </row>
    <row r="7285" spans="23:23" ht="24" customHeight="1">
      <c r="W7285" s="744"/>
    </row>
    <row r="7286" spans="23:23" ht="24" customHeight="1">
      <c r="W7286" s="744"/>
    </row>
    <row r="7287" spans="23:23" ht="24" customHeight="1">
      <c r="W7287" s="744"/>
    </row>
    <row r="7288" spans="23:23" ht="24" customHeight="1">
      <c r="W7288" s="744"/>
    </row>
    <row r="7289" spans="23:23" ht="24" customHeight="1">
      <c r="W7289" s="744"/>
    </row>
    <row r="7290" spans="23:23" ht="24" customHeight="1">
      <c r="W7290" s="744"/>
    </row>
    <row r="7291" spans="23:23" ht="24" customHeight="1">
      <c r="W7291" s="744"/>
    </row>
    <row r="7292" spans="23:23" ht="24" customHeight="1">
      <c r="W7292" s="744"/>
    </row>
    <row r="7293" spans="23:23" ht="24" customHeight="1">
      <c r="W7293" s="744"/>
    </row>
    <row r="7294" spans="23:23" ht="24" customHeight="1">
      <c r="W7294" s="744"/>
    </row>
    <row r="7295" spans="23:23" ht="24" customHeight="1">
      <c r="W7295" s="744"/>
    </row>
    <row r="7296" spans="23:23" ht="24" customHeight="1">
      <c r="W7296" s="744"/>
    </row>
    <row r="7297" spans="23:23" ht="24" customHeight="1">
      <c r="W7297" s="744"/>
    </row>
    <row r="7298" spans="23:23" ht="24" customHeight="1">
      <c r="W7298" s="744"/>
    </row>
    <row r="7299" spans="23:23" ht="24" customHeight="1">
      <c r="W7299" s="744"/>
    </row>
    <row r="7300" spans="23:23" ht="24" customHeight="1">
      <c r="W7300" s="744"/>
    </row>
    <row r="7301" spans="23:23" ht="24" customHeight="1">
      <c r="W7301" s="744"/>
    </row>
    <row r="7302" spans="23:23" ht="24" customHeight="1">
      <c r="W7302" s="744"/>
    </row>
    <row r="7303" spans="23:23" ht="24" customHeight="1">
      <c r="W7303" s="744"/>
    </row>
    <row r="7304" spans="23:23" ht="24" customHeight="1">
      <c r="W7304" s="744"/>
    </row>
    <row r="7305" spans="23:23" ht="24" customHeight="1">
      <c r="W7305" s="744"/>
    </row>
    <row r="7306" spans="23:23" ht="24" customHeight="1">
      <c r="W7306" s="744"/>
    </row>
    <row r="7307" spans="23:23" ht="24" customHeight="1">
      <c r="W7307" s="744"/>
    </row>
    <row r="7308" spans="23:23" ht="24" customHeight="1">
      <c r="W7308" s="744"/>
    </row>
    <row r="7309" spans="23:23" ht="24" customHeight="1">
      <c r="W7309" s="744"/>
    </row>
    <row r="7310" spans="23:23" ht="24" customHeight="1">
      <c r="W7310" s="744"/>
    </row>
    <row r="7311" spans="23:23" ht="24" customHeight="1">
      <c r="W7311" s="744"/>
    </row>
    <row r="7312" spans="23:23" ht="24" customHeight="1">
      <c r="W7312" s="744"/>
    </row>
    <row r="7313" spans="23:23" ht="24" customHeight="1">
      <c r="W7313" s="744"/>
    </row>
    <row r="7314" spans="23:23" ht="24" customHeight="1">
      <c r="W7314" s="744"/>
    </row>
    <row r="7315" spans="23:23" ht="24" customHeight="1">
      <c r="W7315" s="744"/>
    </row>
    <row r="7316" spans="23:23" ht="24" customHeight="1">
      <c r="W7316" s="744"/>
    </row>
    <row r="7317" spans="23:23" ht="24" customHeight="1">
      <c r="W7317" s="744"/>
    </row>
    <row r="7318" spans="23:23" ht="24" customHeight="1">
      <c r="W7318" s="744"/>
    </row>
    <row r="7319" spans="23:23" ht="24" customHeight="1">
      <c r="W7319" s="744"/>
    </row>
    <row r="7320" spans="23:23" ht="24" customHeight="1">
      <c r="W7320" s="744"/>
    </row>
    <row r="7321" spans="23:23" ht="24" customHeight="1">
      <c r="W7321" s="744"/>
    </row>
    <row r="7322" spans="23:23" ht="24" customHeight="1">
      <c r="W7322" s="744"/>
    </row>
    <row r="7323" spans="23:23" ht="24" customHeight="1">
      <c r="W7323" s="744"/>
    </row>
    <row r="7324" spans="23:23" ht="24" customHeight="1">
      <c r="W7324" s="744"/>
    </row>
    <row r="7325" spans="23:23" ht="24" customHeight="1">
      <c r="W7325" s="744"/>
    </row>
    <row r="7326" spans="23:23" ht="24" customHeight="1">
      <c r="W7326" s="744"/>
    </row>
    <row r="7327" spans="23:23" ht="24" customHeight="1">
      <c r="W7327" s="744"/>
    </row>
    <row r="7328" spans="23:23" ht="24" customHeight="1">
      <c r="W7328" s="744"/>
    </row>
    <row r="7329" spans="23:23" ht="24" customHeight="1">
      <c r="W7329" s="744"/>
    </row>
    <row r="7330" spans="23:23" ht="24" customHeight="1">
      <c r="W7330" s="744"/>
    </row>
    <row r="7331" spans="23:23" ht="24" customHeight="1">
      <c r="W7331" s="744"/>
    </row>
    <row r="7332" spans="23:23" ht="24" customHeight="1">
      <c r="W7332" s="744"/>
    </row>
    <row r="7333" spans="23:23" ht="24" customHeight="1">
      <c r="W7333" s="744"/>
    </row>
    <row r="7334" spans="23:23" ht="24" customHeight="1">
      <c r="W7334" s="744"/>
    </row>
    <row r="7335" spans="23:23" ht="24" customHeight="1">
      <c r="W7335" s="744"/>
    </row>
    <row r="7336" spans="23:23" ht="24" customHeight="1">
      <c r="W7336" s="744"/>
    </row>
    <row r="7337" spans="23:23" ht="24" customHeight="1">
      <c r="W7337" s="744"/>
    </row>
    <row r="7338" spans="23:23" ht="24" customHeight="1">
      <c r="W7338" s="744"/>
    </row>
    <row r="7339" spans="23:23" ht="24" customHeight="1">
      <c r="W7339" s="744"/>
    </row>
    <row r="7340" spans="23:23" ht="24" customHeight="1">
      <c r="W7340" s="744"/>
    </row>
    <row r="7341" spans="23:23" ht="24" customHeight="1">
      <c r="W7341" s="744"/>
    </row>
    <row r="7342" spans="23:23" ht="24" customHeight="1">
      <c r="W7342" s="744"/>
    </row>
    <row r="7343" spans="23:23" ht="24" customHeight="1">
      <c r="W7343" s="744"/>
    </row>
    <row r="7344" spans="23:23" ht="24" customHeight="1">
      <c r="W7344" s="744"/>
    </row>
    <row r="7345" spans="23:23" ht="24" customHeight="1">
      <c r="W7345" s="744"/>
    </row>
    <row r="7346" spans="23:23" ht="24" customHeight="1">
      <c r="W7346" s="744"/>
    </row>
    <row r="7347" spans="23:23" ht="24" customHeight="1">
      <c r="W7347" s="744"/>
    </row>
    <row r="7348" spans="23:23" ht="24" customHeight="1">
      <c r="W7348" s="744"/>
    </row>
    <row r="7349" spans="23:23" ht="24" customHeight="1">
      <c r="W7349" s="744"/>
    </row>
    <row r="7350" spans="23:23" ht="24" customHeight="1">
      <c r="W7350" s="744"/>
    </row>
    <row r="7351" spans="23:23" ht="24" customHeight="1">
      <c r="W7351" s="744"/>
    </row>
    <row r="7352" spans="23:23" ht="24" customHeight="1">
      <c r="W7352" s="744"/>
    </row>
    <row r="7353" spans="23:23" ht="24" customHeight="1">
      <c r="W7353" s="744"/>
    </row>
    <row r="7354" spans="23:23" ht="24" customHeight="1">
      <c r="W7354" s="744"/>
    </row>
    <row r="7355" spans="23:23" ht="24" customHeight="1">
      <c r="W7355" s="744"/>
    </row>
    <row r="7356" spans="23:23" ht="24" customHeight="1">
      <c r="W7356" s="744"/>
    </row>
    <row r="7357" spans="23:23" ht="24" customHeight="1">
      <c r="W7357" s="744"/>
    </row>
    <row r="7358" spans="23:23" ht="24" customHeight="1">
      <c r="W7358" s="744"/>
    </row>
    <row r="7359" spans="23:23" ht="24" customHeight="1">
      <c r="W7359" s="744"/>
    </row>
    <row r="7360" spans="23:23" ht="24" customHeight="1">
      <c r="W7360" s="744"/>
    </row>
    <row r="7361" spans="23:23" ht="24" customHeight="1">
      <c r="W7361" s="744"/>
    </row>
    <row r="7362" spans="23:23" ht="24" customHeight="1">
      <c r="W7362" s="744"/>
    </row>
    <row r="7363" spans="23:23" ht="24" customHeight="1">
      <c r="W7363" s="744"/>
    </row>
    <row r="7364" spans="23:23" ht="24" customHeight="1">
      <c r="W7364" s="744"/>
    </row>
    <row r="7365" spans="23:23" ht="24" customHeight="1">
      <c r="W7365" s="744"/>
    </row>
    <row r="7366" spans="23:23" ht="24" customHeight="1">
      <c r="W7366" s="744"/>
    </row>
    <row r="7367" spans="23:23" ht="24" customHeight="1">
      <c r="W7367" s="744"/>
    </row>
    <row r="7368" spans="23:23" ht="24" customHeight="1">
      <c r="W7368" s="744"/>
    </row>
    <row r="7369" spans="23:23" ht="24" customHeight="1">
      <c r="W7369" s="744"/>
    </row>
    <row r="7370" spans="23:23" ht="24" customHeight="1">
      <c r="W7370" s="744"/>
    </row>
    <row r="7371" spans="23:23" ht="24" customHeight="1">
      <c r="W7371" s="744"/>
    </row>
    <row r="7372" spans="23:23" ht="24" customHeight="1">
      <c r="W7372" s="744"/>
    </row>
    <row r="7373" spans="23:23" ht="24" customHeight="1">
      <c r="W7373" s="744"/>
    </row>
    <row r="7374" spans="23:23" ht="24" customHeight="1">
      <c r="W7374" s="744"/>
    </row>
    <row r="7375" spans="23:23" ht="24" customHeight="1">
      <c r="W7375" s="744"/>
    </row>
    <row r="7376" spans="23:23" ht="24" customHeight="1">
      <c r="W7376" s="744"/>
    </row>
    <row r="7377" spans="23:23" ht="24" customHeight="1">
      <c r="W7377" s="744"/>
    </row>
    <row r="7378" spans="23:23" ht="24" customHeight="1">
      <c r="W7378" s="744"/>
    </row>
    <row r="7379" spans="23:23" ht="24" customHeight="1">
      <c r="W7379" s="744"/>
    </row>
    <row r="7380" spans="23:23" ht="24" customHeight="1">
      <c r="W7380" s="744"/>
    </row>
    <row r="7381" spans="23:23" ht="24" customHeight="1">
      <c r="W7381" s="744"/>
    </row>
    <row r="7382" spans="23:23" ht="24" customHeight="1">
      <c r="W7382" s="744"/>
    </row>
    <row r="7383" spans="23:23" ht="24" customHeight="1">
      <c r="W7383" s="744"/>
    </row>
    <row r="7384" spans="23:23" ht="24" customHeight="1">
      <c r="W7384" s="744"/>
    </row>
    <row r="7385" spans="23:23" ht="24" customHeight="1">
      <c r="W7385" s="744"/>
    </row>
    <row r="7386" spans="23:23" ht="24" customHeight="1">
      <c r="W7386" s="744"/>
    </row>
    <row r="7387" spans="23:23" ht="24" customHeight="1">
      <c r="W7387" s="744"/>
    </row>
    <row r="7388" spans="23:23" ht="24" customHeight="1">
      <c r="W7388" s="744"/>
    </row>
    <row r="7389" spans="23:23" ht="24" customHeight="1">
      <c r="W7389" s="744"/>
    </row>
    <row r="7390" spans="23:23" ht="24" customHeight="1">
      <c r="W7390" s="744"/>
    </row>
    <row r="7391" spans="23:23" ht="24" customHeight="1">
      <c r="W7391" s="744"/>
    </row>
    <row r="7392" spans="23:23" ht="24" customHeight="1">
      <c r="W7392" s="744"/>
    </row>
    <row r="7393" spans="23:23" ht="24" customHeight="1">
      <c r="W7393" s="744"/>
    </row>
    <row r="7394" spans="23:23" ht="24" customHeight="1">
      <c r="W7394" s="744"/>
    </row>
    <row r="7395" spans="23:23" ht="24" customHeight="1">
      <c r="W7395" s="744"/>
    </row>
    <row r="7396" spans="23:23" ht="24" customHeight="1">
      <c r="W7396" s="744"/>
    </row>
    <row r="7397" spans="23:23" ht="24" customHeight="1">
      <c r="W7397" s="744"/>
    </row>
    <row r="7398" spans="23:23" ht="24" customHeight="1">
      <c r="W7398" s="744"/>
    </row>
    <row r="7399" spans="23:23" ht="24" customHeight="1">
      <c r="W7399" s="744"/>
    </row>
    <row r="7400" spans="23:23" ht="24" customHeight="1">
      <c r="W7400" s="744"/>
    </row>
    <row r="7401" spans="23:23" ht="24" customHeight="1">
      <c r="W7401" s="744"/>
    </row>
    <row r="7402" spans="23:23" ht="24" customHeight="1">
      <c r="W7402" s="744"/>
    </row>
    <row r="7403" spans="23:23" ht="24" customHeight="1">
      <c r="W7403" s="744"/>
    </row>
    <row r="7404" spans="23:23" ht="24" customHeight="1">
      <c r="W7404" s="744"/>
    </row>
    <row r="7405" spans="23:23" ht="24" customHeight="1">
      <c r="W7405" s="744"/>
    </row>
    <row r="7406" spans="23:23" ht="24" customHeight="1">
      <c r="W7406" s="744"/>
    </row>
    <row r="7407" spans="23:23" ht="24" customHeight="1">
      <c r="W7407" s="744"/>
    </row>
    <row r="7408" spans="23:23" ht="24" customHeight="1">
      <c r="W7408" s="744"/>
    </row>
    <row r="7409" spans="23:23" ht="24" customHeight="1">
      <c r="W7409" s="744"/>
    </row>
    <row r="7410" spans="23:23" ht="24" customHeight="1">
      <c r="W7410" s="744"/>
    </row>
    <row r="7411" spans="23:23" ht="24" customHeight="1">
      <c r="W7411" s="744"/>
    </row>
    <row r="7412" spans="23:23" ht="24" customHeight="1">
      <c r="W7412" s="744"/>
    </row>
    <row r="7413" spans="23:23" ht="24" customHeight="1">
      <c r="W7413" s="744"/>
    </row>
    <row r="7414" spans="23:23" ht="24" customHeight="1">
      <c r="W7414" s="744"/>
    </row>
    <row r="7415" spans="23:23" ht="24" customHeight="1">
      <c r="W7415" s="744"/>
    </row>
    <row r="7416" spans="23:23" ht="24" customHeight="1">
      <c r="W7416" s="744"/>
    </row>
    <row r="7417" spans="23:23" ht="24" customHeight="1">
      <c r="W7417" s="744"/>
    </row>
    <row r="7418" spans="23:23" ht="24" customHeight="1">
      <c r="W7418" s="744"/>
    </row>
    <row r="7419" spans="23:23" ht="24" customHeight="1">
      <c r="W7419" s="744"/>
    </row>
    <row r="7420" spans="23:23" ht="24" customHeight="1">
      <c r="W7420" s="744"/>
    </row>
    <row r="7421" spans="23:23" ht="24" customHeight="1">
      <c r="W7421" s="744"/>
    </row>
    <row r="7422" spans="23:23" ht="24" customHeight="1">
      <c r="W7422" s="744"/>
    </row>
    <row r="7423" spans="23:23" ht="24" customHeight="1">
      <c r="W7423" s="744"/>
    </row>
    <row r="7424" spans="23:23" ht="24" customHeight="1">
      <c r="W7424" s="744"/>
    </row>
    <row r="7425" spans="23:23" ht="24" customHeight="1">
      <c r="W7425" s="744"/>
    </row>
    <row r="7426" spans="23:23" ht="24" customHeight="1">
      <c r="W7426" s="744"/>
    </row>
    <row r="7427" spans="23:23" ht="24" customHeight="1">
      <c r="W7427" s="744"/>
    </row>
    <row r="7428" spans="23:23" ht="24" customHeight="1">
      <c r="W7428" s="744"/>
    </row>
    <row r="7429" spans="23:23" ht="24" customHeight="1">
      <c r="W7429" s="744"/>
    </row>
    <row r="7430" spans="23:23" ht="24" customHeight="1">
      <c r="W7430" s="744"/>
    </row>
    <row r="7431" spans="23:23" ht="24" customHeight="1">
      <c r="W7431" s="744"/>
    </row>
    <row r="7432" spans="23:23" ht="24" customHeight="1">
      <c r="W7432" s="744"/>
    </row>
    <row r="7433" spans="23:23" ht="24" customHeight="1">
      <c r="W7433" s="744"/>
    </row>
    <row r="7434" spans="23:23" ht="24" customHeight="1">
      <c r="W7434" s="744"/>
    </row>
    <row r="7435" spans="23:23" ht="24" customHeight="1">
      <c r="W7435" s="744"/>
    </row>
    <row r="7436" spans="23:23" ht="24" customHeight="1">
      <c r="W7436" s="744"/>
    </row>
    <row r="7437" spans="23:23" ht="24" customHeight="1">
      <c r="W7437" s="744"/>
    </row>
    <row r="7438" spans="23:23" ht="24" customHeight="1">
      <c r="W7438" s="744"/>
    </row>
    <row r="7439" spans="23:23" ht="24" customHeight="1">
      <c r="W7439" s="744"/>
    </row>
    <row r="7440" spans="23:23" ht="24" customHeight="1">
      <c r="W7440" s="744"/>
    </row>
    <row r="7441" spans="23:23" ht="24" customHeight="1">
      <c r="W7441" s="744"/>
    </row>
    <row r="7442" spans="23:23" ht="24" customHeight="1">
      <c r="W7442" s="744"/>
    </row>
    <row r="7443" spans="23:23" ht="24" customHeight="1">
      <c r="W7443" s="744"/>
    </row>
    <row r="7444" spans="23:23" ht="24" customHeight="1">
      <c r="W7444" s="744"/>
    </row>
    <row r="7445" spans="23:23" ht="24" customHeight="1">
      <c r="W7445" s="744"/>
    </row>
    <row r="7446" spans="23:23" ht="24" customHeight="1">
      <c r="W7446" s="744"/>
    </row>
    <row r="7447" spans="23:23" ht="24" customHeight="1">
      <c r="W7447" s="744"/>
    </row>
    <row r="7448" spans="23:23" ht="24" customHeight="1">
      <c r="W7448" s="744"/>
    </row>
    <row r="7449" spans="23:23" ht="24" customHeight="1">
      <c r="W7449" s="744"/>
    </row>
    <row r="7450" spans="23:23" ht="24" customHeight="1">
      <c r="W7450" s="744"/>
    </row>
    <row r="7451" spans="23:23" ht="24" customHeight="1">
      <c r="W7451" s="744"/>
    </row>
    <row r="7452" spans="23:23" ht="24" customHeight="1">
      <c r="W7452" s="744"/>
    </row>
    <row r="7453" spans="23:23" ht="24" customHeight="1">
      <c r="W7453" s="744"/>
    </row>
    <row r="7454" spans="23:23" ht="24" customHeight="1">
      <c r="W7454" s="744"/>
    </row>
    <row r="7455" spans="23:23" ht="24" customHeight="1">
      <c r="W7455" s="744"/>
    </row>
    <row r="7456" spans="23:23" ht="24" customHeight="1">
      <c r="W7456" s="744"/>
    </row>
    <row r="7457" spans="23:23" ht="24" customHeight="1">
      <c r="W7457" s="744"/>
    </row>
    <row r="7458" spans="23:23" ht="24" customHeight="1">
      <c r="W7458" s="744"/>
    </row>
    <row r="7459" spans="23:23" ht="24" customHeight="1">
      <c r="W7459" s="744"/>
    </row>
    <row r="7460" spans="23:23" ht="24" customHeight="1">
      <c r="W7460" s="744"/>
    </row>
    <row r="7461" spans="23:23" ht="24" customHeight="1">
      <c r="W7461" s="744"/>
    </row>
    <row r="7462" spans="23:23" ht="24" customHeight="1">
      <c r="W7462" s="744"/>
    </row>
    <row r="7463" spans="23:23" ht="24" customHeight="1">
      <c r="W7463" s="744"/>
    </row>
    <row r="7464" spans="23:23" ht="24" customHeight="1">
      <c r="W7464" s="744"/>
    </row>
    <row r="7465" spans="23:23" ht="24" customHeight="1">
      <c r="W7465" s="744"/>
    </row>
    <row r="7466" spans="23:23" ht="24" customHeight="1">
      <c r="W7466" s="744"/>
    </row>
    <row r="7467" spans="23:23" ht="24" customHeight="1">
      <c r="W7467" s="744"/>
    </row>
    <row r="7468" spans="23:23" ht="24" customHeight="1">
      <c r="W7468" s="744"/>
    </row>
    <row r="7469" spans="23:23" ht="24" customHeight="1">
      <c r="W7469" s="744"/>
    </row>
    <row r="7470" spans="23:23" ht="24" customHeight="1">
      <c r="W7470" s="744"/>
    </row>
    <row r="7471" spans="23:23" ht="24" customHeight="1">
      <c r="W7471" s="744"/>
    </row>
    <row r="7472" spans="23:23" ht="24" customHeight="1">
      <c r="W7472" s="744"/>
    </row>
    <row r="7473" spans="23:23" ht="24" customHeight="1">
      <c r="W7473" s="744"/>
    </row>
    <row r="7474" spans="23:23" ht="24" customHeight="1">
      <c r="W7474" s="744"/>
    </row>
    <row r="7475" spans="23:23" ht="24" customHeight="1">
      <c r="W7475" s="744"/>
    </row>
    <row r="7476" spans="23:23" ht="24" customHeight="1">
      <c r="W7476" s="744"/>
    </row>
    <row r="7477" spans="23:23" ht="24" customHeight="1">
      <c r="W7477" s="744"/>
    </row>
    <row r="7478" spans="23:23" ht="24" customHeight="1">
      <c r="W7478" s="744"/>
    </row>
    <row r="7479" spans="23:23" ht="24" customHeight="1">
      <c r="W7479" s="744"/>
    </row>
    <row r="7480" spans="23:23" ht="24" customHeight="1">
      <c r="W7480" s="744"/>
    </row>
    <row r="7481" spans="23:23" ht="24" customHeight="1">
      <c r="W7481" s="744"/>
    </row>
    <row r="7482" spans="23:23" ht="24" customHeight="1">
      <c r="W7482" s="744"/>
    </row>
    <row r="7483" spans="23:23" ht="24" customHeight="1">
      <c r="W7483" s="744"/>
    </row>
    <row r="7484" spans="23:23" ht="24" customHeight="1">
      <c r="W7484" s="744"/>
    </row>
    <row r="7485" spans="23:23" ht="24" customHeight="1">
      <c r="W7485" s="744"/>
    </row>
    <row r="7486" spans="23:23" ht="24" customHeight="1">
      <c r="W7486" s="744"/>
    </row>
    <row r="7487" spans="23:23" ht="24" customHeight="1">
      <c r="W7487" s="744"/>
    </row>
    <row r="7488" spans="23:23" ht="24" customHeight="1">
      <c r="W7488" s="744"/>
    </row>
    <row r="7489" spans="23:23" ht="24" customHeight="1">
      <c r="W7489" s="744"/>
    </row>
    <row r="7490" spans="23:23" ht="24" customHeight="1">
      <c r="W7490" s="744"/>
    </row>
    <row r="7491" spans="23:23" ht="24" customHeight="1">
      <c r="W7491" s="744"/>
    </row>
    <row r="7492" spans="23:23" ht="24" customHeight="1">
      <c r="W7492" s="744"/>
    </row>
    <row r="7493" spans="23:23" ht="24" customHeight="1">
      <c r="W7493" s="744"/>
    </row>
    <row r="7494" spans="23:23" ht="24" customHeight="1">
      <c r="W7494" s="744"/>
    </row>
    <row r="7495" spans="23:23" ht="24" customHeight="1">
      <c r="W7495" s="744"/>
    </row>
    <row r="7496" spans="23:23" ht="24" customHeight="1">
      <c r="W7496" s="744"/>
    </row>
    <row r="7497" spans="23:23" ht="24" customHeight="1">
      <c r="W7497" s="744"/>
    </row>
    <row r="7498" spans="23:23" ht="24" customHeight="1">
      <c r="W7498" s="744"/>
    </row>
    <row r="7499" spans="23:23" ht="24" customHeight="1">
      <c r="W7499" s="744"/>
    </row>
    <row r="7500" spans="23:23" ht="24" customHeight="1">
      <c r="W7500" s="744"/>
    </row>
    <row r="7501" spans="23:23" ht="24" customHeight="1">
      <c r="W7501" s="744"/>
    </row>
    <row r="7502" spans="23:23" ht="24" customHeight="1">
      <c r="W7502" s="744"/>
    </row>
    <row r="7503" spans="23:23" ht="24" customHeight="1">
      <c r="W7503" s="744"/>
    </row>
    <row r="7504" spans="23:23" ht="24" customHeight="1">
      <c r="W7504" s="744"/>
    </row>
    <row r="7505" spans="23:23" ht="24" customHeight="1">
      <c r="W7505" s="744"/>
    </row>
    <row r="7506" spans="23:23" ht="24" customHeight="1">
      <c r="W7506" s="744"/>
    </row>
    <row r="7507" spans="23:23" ht="24" customHeight="1">
      <c r="W7507" s="744"/>
    </row>
    <row r="7508" spans="23:23" ht="24" customHeight="1">
      <c r="W7508" s="744"/>
    </row>
    <row r="7509" spans="23:23" ht="24" customHeight="1">
      <c r="W7509" s="744"/>
    </row>
    <row r="7510" spans="23:23" ht="24" customHeight="1">
      <c r="W7510" s="744"/>
    </row>
    <row r="7511" spans="23:23" ht="24" customHeight="1">
      <c r="W7511" s="744"/>
    </row>
    <row r="7512" spans="23:23" ht="24" customHeight="1">
      <c r="W7512" s="744"/>
    </row>
    <row r="7513" spans="23:23" ht="24" customHeight="1">
      <c r="W7513" s="744"/>
    </row>
    <row r="7514" spans="23:23" ht="24" customHeight="1">
      <c r="W7514" s="744"/>
    </row>
    <row r="7515" spans="23:23" ht="24" customHeight="1">
      <c r="W7515" s="744"/>
    </row>
    <row r="7516" spans="23:23" ht="24" customHeight="1">
      <c r="W7516" s="744"/>
    </row>
    <row r="7517" spans="23:23" ht="24" customHeight="1">
      <c r="W7517" s="744"/>
    </row>
    <row r="7518" spans="23:23" ht="24" customHeight="1">
      <c r="W7518" s="744"/>
    </row>
    <row r="7519" spans="23:23" ht="24" customHeight="1">
      <c r="W7519" s="744"/>
    </row>
    <row r="7520" spans="23:23" ht="24" customHeight="1">
      <c r="W7520" s="744"/>
    </row>
    <row r="7521" spans="23:23" ht="24" customHeight="1">
      <c r="W7521" s="744"/>
    </row>
    <row r="7522" spans="23:23" ht="24" customHeight="1">
      <c r="W7522" s="744"/>
    </row>
    <row r="7523" spans="23:23" ht="24" customHeight="1">
      <c r="W7523" s="744"/>
    </row>
    <row r="7524" spans="23:23" ht="24" customHeight="1">
      <c r="W7524" s="744"/>
    </row>
    <row r="7525" spans="23:23" ht="24" customHeight="1">
      <c r="W7525" s="744"/>
    </row>
    <row r="7526" spans="23:23" ht="24" customHeight="1">
      <c r="W7526" s="744"/>
    </row>
    <row r="7527" spans="23:23" ht="24" customHeight="1">
      <c r="W7527" s="744"/>
    </row>
    <row r="7528" spans="23:23" ht="24" customHeight="1">
      <c r="W7528" s="744"/>
    </row>
    <row r="7529" spans="23:23" ht="24" customHeight="1">
      <c r="W7529" s="744"/>
    </row>
    <row r="7530" spans="23:23" ht="24" customHeight="1">
      <c r="W7530" s="744"/>
    </row>
    <row r="7531" spans="23:23" ht="24" customHeight="1">
      <c r="W7531" s="744"/>
    </row>
    <row r="7532" spans="23:23" ht="24" customHeight="1">
      <c r="W7532" s="744"/>
    </row>
    <row r="7533" spans="23:23" ht="24" customHeight="1">
      <c r="W7533" s="744"/>
    </row>
    <row r="7534" spans="23:23" ht="24" customHeight="1">
      <c r="W7534" s="744"/>
    </row>
    <row r="7535" spans="23:23" ht="24" customHeight="1">
      <c r="W7535" s="744"/>
    </row>
    <row r="7536" spans="23:23" ht="24" customHeight="1">
      <c r="W7536" s="744"/>
    </row>
    <row r="7537" spans="23:23" ht="24" customHeight="1">
      <c r="W7537" s="744"/>
    </row>
    <row r="7538" spans="23:23" ht="24" customHeight="1">
      <c r="W7538" s="744"/>
    </row>
    <row r="7539" spans="23:23" ht="24" customHeight="1">
      <c r="W7539" s="744"/>
    </row>
    <row r="7540" spans="23:23" ht="24" customHeight="1">
      <c r="W7540" s="744"/>
    </row>
    <row r="7541" spans="23:23" ht="24" customHeight="1">
      <c r="W7541" s="744"/>
    </row>
    <row r="7542" spans="23:23" ht="24" customHeight="1">
      <c r="W7542" s="744"/>
    </row>
    <row r="7543" spans="23:23" ht="24" customHeight="1">
      <c r="W7543" s="744"/>
    </row>
    <row r="7544" spans="23:23" ht="24" customHeight="1">
      <c r="W7544" s="744"/>
    </row>
    <row r="7545" spans="23:23" ht="24" customHeight="1">
      <c r="W7545" s="744"/>
    </row>
    <row r="7546" spans="23:23" ht="24" customHeight="1">
      <c r="W7546" s="744"/>
    </row>
    <row r="7547" spans="23:23" ht="24" customHeight="1">
      <c r="W7547" s="744"/>
    </row>
    <row r="7548" spans="23:23" ht="24" customHeight="1">
      <c r="W7548" s="744"/>
    </row>
    <row r="7549" spans="23:23" ht="24" customHeight="1">
      <c r="W7549" s="744"/>
    </row>
    <row r="7550" spans="23:23" ht="24" customHeight="1">
      <c r="W7550" s="744"/>
    </row>
    <row r="7551" spans="23:23" ht="24" customHeight="1">
      <c r="W7551" s="744"/>
    </row>
    <row r="7552" spans="23:23" ht="24" customHeight="1">
      <c r="W7552" s="744"/>
    </row>
    <row r="7553" spans="23:23" ht="24" customHeight="1">
      <c r="W7553" s="744"/>
    </row>
    <row r="7554" spans="23:23" ht="24" customHeight="1">
      <c r="W7554" s="744"/>
    </row>
    <row r="7555" spans="23:23" ht="24" customHeight="1">
      <c r="W7555" s="744"/>
    </row>
    <row r="7556" spans="23:23" ht="24" customHeight="1">
      <c r="W7556" s="744"/>
    </row>
    <row r="7557" spans="23:23" ht="24" customHeight="1">
      <c r="W7557" s="744"/>
    </row>
    <row r="7558" spans="23:23" ht="24" customHeight="1">
      <c r="W7558" s="744"/>
    </row>
    <row r="7559" spans="23:23" ht="24" customHeight="1">
      <c r="W7559" s="744"/>
    </row>
    <row r="7560" spans="23:23" ht="24" customHeight="1">
      <c r="W7560" s="744"/>
    </row>
    <row r="7561" spans="23:23" ht="24" customHeight="1">
      <c r="W7561" s="744"/>
    </row>
    <row r="7562" spans="23:23" ht="24" customHeight="1">
      <c r="W7562" s="744"/>
    </row>
    <row r="7563" spans="23:23" ht="24" customHeight="1">
      <c r="W7563" s="744"/>
    </row>
    <row r="7564" spans="23:23" ht="24" customHeight="1">
      <c r="W7564" s="744"/>
    </row>
    <row r="7565" spans="23:23" ht="24" customHeight="1">
      <c r="W7565" s="744"/>
    </row>
    <row r="7566" spans="23:23" ht="24" customHeight="1">
      <c r="W7566" s="744"/>
    </row>
    <row r="7567" spans="23:23" ht="24" customHeight="1">
      <c r="W7567" s="744"/>
    </row>
    <row r="7568" spans="23:23" ht="24" customHeight="1">
      <c r="W7568" s="744"/>
    </row>
    <row r="7569" spans="23:23" ht="24" customHeight="1">
      <c r="W7569" s="744"/>
    </row>
    <row r="7570" spans="23:23" ht="24" customHeight="1">
      <c r="W7570" s="744"/>
    </row>
    <row r="7571" spans="23:23" ht="24" customHeight="1">
      <c r="W7571" s="744"/>
    </row>
    <row r="7572" spans="23:23" ht="24" customHeight="1">
      <c r="W7572" s="744"/>
    </row>
    <row r="7573" spans="23:23" ht="24" customHeight="1">
      <c r="W7573" s="744"/>
    </row>
    <row r="7574" spans="23:23" ht="24" customHeight="1">
      <c r="W7574" s="744"/>
    </row>
    <row r="7575" spans="23:23" ht="24" customHeight="1">
      <c r="W7575" s="744"/>
    </row>
    <row r="7576" spans="23:23" ht="24" customHeight="1">
      <c r="W7576" s="744"/>
    </row>
    <row r="7577" spans="23:23" ht="24" customHeight="1">
      <c r="W7577" s="744"/>
    </row>
    <row r="7578" spans="23:23" ht="24" customHeight="1">
      <c r="W7578" s="744"/>
    </row>
    <row r="7579" spans="23:23" ht="24" customHeight="1">
      <c r="W7579" s="744"/>
    </row>
    <row r="7580" spans="23:23" ht="24" customHeight="1">
      <c r="W7580" s="744"/>
    </row>
    <row r="7581" spans="23:23" ht="24" customHeight="1">
      <c r="W7581" s="744"/>
    </row>
    <row r="7582" spans="23:23" ht="24" customHeight="1">
      <c r="W7582" s="744"/>
    </row>
    <row r="7583" spans="23:23" ht="24" customHeight="1">
      <c r="W7583" s="744"/>
    </row>
    <row r="7584" spans="23:23" ht="24" customHeight="1">
      <c r="W7584" s="744"/>
    </row>
    <row r="7585" spans="23:23" ht="24" customHeight="1">
      <c r="W7585" s="744"/>
    </row>
    <row r="7586" spans="23:23" ht="24" customHeight="1">
      <c r="W7586" s="744"/>
    </row>
    <row r="7587" spans="23:23" ht="24" customHeight="1">
      <c r="W7587" s="744"/>
    </row>
    <row r="7588" spans="23:23" ht="24" customHeight="1">
      <c r="W7588" s="744"/>
    </row>
    <row r="7589" spans="23:23" ht="24" customHeight="1">
      <c r="W7589" s="744"/>
    </row>
    <row r="7590" spans="23:23" ht="24" customHeight="1">
      <c r="W7590" s="744"/>
    </row>
    <row r="7591" spans="23:23" ht="24" customHeight="1">
      <c r="W7591" s="744"/>
    </row>
    <row r="7592" spans="23:23" ht="24" customHeight="1">
      <c r="W7592" s="744"/>
    </row>
    <row r="7593" spans="23:23" ht="24" customHeight="1">
      <c r="W7593" s="744"/>
    </row>
    <row r="7594" spans="23:23" ht="24" customHeight="1">
      <c r="W7594" s="744"/>
    </row>
    <row r="7595" spans="23:23" ht="24" customHeight="1">
      <c r="W7595" s="744"/>
    </row>
    <row r="7596" spans="23:23" ht="24" customHeight="1">
      <c r="W7596" s="744"/>
    </row>
    <row r="7597" spans="23:23" ht="24" customHeight="1">
      <c r="W7597" s="744"/>
    </row>
    <row r="7598" spans="23:23" ht="24" customHeight="1">
      <c r="W7598" s="744"/>
    </row>
    <row r="7599" spans="23:23" ht="24" customHeight="1">
      <c r="W7599" s="744"/>
    </row>
    <row r="7600" spans="23:23" ht="24" customHeight="1">
      <c r="W7600" s="744"/>
    </row>
    <row r="7601" spans="23:23" ht="24" customHeight="1">
      <c r="W7601" s="744"/>
    </row>
    <row r="7602" spans="23:23" ht="24" customHeight="1">
      <c r="W7602" s="744"/>
    </row>
    <row r="7603" spans="23:23" ht="24" customHeight="1">
      <c r="W7603" s="744"/>
    </row>
    <row r="7604" spans="23:23" ht="24" customHeight="1">
      <c r="W7604" s="744"/>
    </row>
    <row r="7605" spans="23:23" ht="24" customHeight="1">
      <c r="W7605" s="744"/>
    </row>
    <row r="7606" spans="23:23" ht="24" customHeight="1">
      <c r="W7606" s="744"/>
    </row>
    <row r="7607" spans="23:23" ht="24" customHeight="1">
      <c r="W7607" s="744"/>
    </row>
    <row r="7608" spans="23:23" ht="24" customHeight="1">
      <c r="W7608" s="744"/>
    </row>
    <row r="7609" spans="23:23" ht="24" customHeight="1">
      <c r="W7609" s="744"/>
    </row>
    <row r="7610" spans="23:23" ht="24" customHeight="1">
      <c r="W7610" s="744"/>
    </row>
    <row r="7611" spans="23:23" ht="24" customHeight="1">
      <c r="W7611" s="744"/>
    </row>
    <row r="7612" spans="23:23" ht="24" customHeight="1">
      <c r="W7612" s="744"/>
    </row>
    <row r="7613" spans="23:23" ht="24" customHeight="1">
      <c r="W7613" s="744"/>
    </row>
    <row r="7614" spans="23:23" ht="24" customHeight="1">
      <c r="W7614" s="744"/>
    </row>
    <row r="7615" spans="23:23" ht="24" customHeight="1">
      <c r="W7615" s="744"/>
    </row>
    <row r="7616" spans="23:23" ht="24" customHeight="1">
      <c r="W7616" s="744"/>
    </row>
    <row r="7617" spans="23:23" ht="24" customHeight="1">
      <c r="W7617" s="744"/>
    </row>
    <row r="7618" spans="23:23" ht="24" customHeight="1">
      <c r="W7618" s="744"/>
    </row>
    <row r="7619" spans="23:23" ht="24" customHeight="1">
      <c r="W7619" s="744"/>
    </row>
    <row r="7620" spans="23:23" ht="24" customHeight="1">
      <c r="W7620" s="744"/>
    </row>
    <row r="7621" spans="23:23" ht="24" customHeight="1">
      <c r="W7621" s="744"/>
    </row>
    <row r="7622" spans="23:23" ht="24" customHeight="1">
      <c r="W7622" s="744"/>
    </row>
    <row r="7623" spans="23:23" ht="24" customHeight="1">
      <c r="W7623" s="744"/>
    </row>
    <row r="7624" spans="23:23" ht="24" customHeight="1">
      <c r="W7624" s="744"/>
    </row>
    <row r="7625" spans="23:23" ht="24" customHeight="1">
      <c r="W7625" s="744"/>
    </row>
    <row r="7626" spans="23:23" ht="24" customHeight="1">
      <c r="W7626" s="744"/>
    </row>
    <row r="7627" spans="23:23" ht="24" customHeight="1">
      <c r="W7627" s="744"/>
    </row>
    <row r="7628" spans="23:23" ht="24" customHeight="1">
      <c r="W7628" s="744"/>
    </row>
    <row r="7629" spans="23:23" ht="24" customHeight="1">
      <c r="W7629" s="744"/>
    </row>
    <row r="7630" spans="23:23" ht="24" customHeight="1">
      <c r="W7630" s="744"/>
    </row>
    <row r="7631" spans="23:23" ht="24" customHeight="1">
      <c r="W7631" s="744"/>
    </row>
    <row r="7632" spans="23:23" ht="24" customHeight="1">
      <c r="W7632" s="744"/>
    </row>
    <row r="7633" spans="23:23" ht="24" customHeight="1">
      <c r="W7633" s="744"/>
    </row>
    <row r="7634" spans="23:23" ht="24" customHeight="1">
      <c r="W7634" s="744"/>
    </row>
    <row r="7635" spans="23:23" ht="24" customHeight="1">
      <c r="W7635" s="744"/>
    </row>
    <row r="7636" spans="23:23" ht="24" customHeight="1">
      <c r="W7636" s="744"/>
    </row>
    <row r="7637" spans="23:23" ht="24" customHeight="1">
      <c r="W7637" s="744"/>
    </row>
    <row r="7638" spans="23:23" ht="24" customHeight="1">
      <c r="W7638" s="744"/>
    </row>
    <row r="7639" spans="23:23" ht="24" customHeight="1">
      <c r="W7639" s="744"/>
    </row>
    <row r="7640" spans="23:23" ht="24" customHeight="1">
      <c r="W7640" s="744"/>
    </row>
    <row r="7641" spans="23:23" ht="24" customHeight="1">
      <c r="W7641" s="744"/>
    </row>
    <row r="7642" spans="23:23" ht="24" customHeight="1">
      <c r="W7642" s="744"/>
    </row>
    <row r="7643" spans="23:23" ht="24" customHeight="1">
      <c r="W7643" s="744"/>
    </row>
    <row r="7644" spans="23:23" ht="24" customHeight="1">
      <c r="W7644" s="744"/>
    </row>
    <row r="7645" spans="23:23" ht="24" customHeight="1">
      <c r="W7645" s="744"/>
    </row>
    <row r="7646" spans="23:23" ht="24" customHeight="1">
      <c r="W7646" s="744"/>
    </row>
    <row r="7647" spans="23:23" ht="24" customHeight="1">
      <c r="W7647" s="744"/>
    </row>
    <row r="7648" spans="23:23" ht="24" customHeight="1">
      <c r="W7648" s="744"/>
    </row>
    <row r="7649" spans="23:23" ht="24" customHeight="1">
      <c r="W7649" s="744"/>
    </row>
    <row r="7650" spans="23:23" ht="24" customHeight="1">
      <c r="W7650" s="744"/>
    </row>
    <row r="7651" spans="23:23" ht="24" customHeight="1">
      <c r="W7651" s="744"/>
    </row>
    <row r="7652" spans="23:23" ht="24" customHeight="1">
      <c r="W7652" s="744"/>
    </row>
    <row r="7653" spans="23:23" ht="24" customHeight="1">
      <c r="W7653" s="744"/>
    </row>
    <row r="7654" spans="23:23" ht="24" customHeight="1">
      <c r="W7654" s="744"/>
    </row>
    <row r="7655" spans="23:23" ht="24" customHeight="1">
      <c r="W7655" s="744"/>
    </row>
    <row r="7656" spans="23:23" ht="24" customHeight="1">
      <c r="W7656" s="744"/>
    </row>
    <row r="7657" spans="23:23" ht="24" customHeight="1">
      <c r="W7657" s="744"/>
    </row>
    <row r="7658" spans="23:23" ht="24" customHeight="1">
      <c r="W7658" s="744"/>
    </row>
    <row r="7659" spans="23:23" ht="24" customHeight="1">
      <c r="W7659" s="744"/>
    </row>
    <row r="7660" spans="23:23" ht="24" customHeight="1">
      <c r="W7660" s="744"/>
    </row>
    <row r="7661" spans="23:23" ht="24" customHeight="1">
      <c r="W7661" s="744"/>
    </row>
    <row r="7662" spans="23:23" ht="24" customHeight="1">
      <c r="W7662" s="744"/>
    </row>
    <row r="7663" spans="23:23" ht="24" customHeight="1">
      <c r="W7663" s="744"/>
    </row>
    <row r="7664" spans="23:23" ht="24" customHeight="1">
      <c r="W7664" s="744"/>
    </row>
    <row r="7665" spans="23:23" ht="24" customHeight="1">
      <c r="W7665" s="744"/>
    </row>
    <row r="7666" spans="23:23" ht="24" customHeight="1">
      <c r="W7666" s="744"/>
    </row>
    <row r="7667" spans="23:23" ht="24" customHeight="1">
      <c r="W7667" s="744"/>
    </row>
    <row r="7668" spans="23:23" ht="24" customHeight="1">
      <c r="W7668" s="744"/>
    </row>
    <row r="7669" spans="23:23" ht="24" customHeight="1">
      <c r="W7669" s="744"/>
    </row>
    <row r="7670" spans="23:23" ht="24" customHeight="1">
      <c r="W7670" s="744"/>
    </row>
    <row r="7671" spans="23:23" ht="24" customHeight="1">
      <c r="W7671" s="744"/>
    </row>
    <row r="7672" spans="23:23" ht="24" customHeight="1">
      <c r="W7672" s="744"/>
    </row>
    <row r="7673" spans="23:23" ht="24" customHeight="1">
      <c r="W7673" s="744"/>
    </row>
    <row r="7674" spans="23:23" ht="24" customHeight="1">
      <c r="W7674" s="744"/>
    </row>
    <row r="7675" spans="23:23" ht="24" customHeight="1">
      <c r="W7675" s="744"/>
    </row>
    <row r="7676" spans="23:23" ht="24" customHeight="1">
      <c r="W7676" s="744"/>
    </row>
    <row r="7677" spans="23:23" ht="24" customHeight="1">
      <c r="W7677" s="744"/>
    </row>
    <row r="7678" spans="23:23" ht="24" customHeight="1">
      <c r="W7678" s="744"/>
    </row>
    <row r="7679" spans="23:23" ht="24" customHeight="1">
      <c r="W7679" s="744"/>
    </row>
    <row r="7680" spans="23:23" ht="24" customHeight="1">
      <c r="W7680" s="744"/>
    </row>
    <row r="7681" spans="23:23" ht="24" customHeight="1">
      <c r="W7681" s="744"/>
    </row>
    <row r="7682" spans="23:23" ht="24" customHeight="1">
      <c r="W7682" s="744"/>
    </row>
    <row r="7683" spans="23:23" ht="24" customHeight="1">
      <c r="W7683" s="744"/>
    </row>
    <row r="7684" spans="23:23" ht="24" customHeight="1">
      <c r="W7684" s="744"/>
    </row>
    <row r="7685" spans="23:23" ht="24" customHeight="1">
      <c r="W7685" s="744"/>
    </row>
    <row r="7686" spans="23:23" ht="24" customHeight="1">
      <c r="W7686" s="744"/>
    </row>
    <row r="7687" spans="23:23" ht="24" customHeight="1">
      <c r="W7687" s="744"/>
    </row>
    <row r="7688" spans="23:23" ht="24" customHeight="1">
      <c r="W7688" s="744"/>
    </row>
    <row r="7689" spans="23:23" ht="24" customHeight="1">
      <c r="W7689" s="744"/>
    </row>
    <row r="7690" spans="23:23" ht="24" customHeight="1">
      <c r="W7690" s="744"/>
    </row>
    <row r="7691" spans="23:23" ht="24" customHeight="1">
      <c r="W7691" s="744"/>
    </row>
    <row r="7692" spans="23:23" ht="24" customHeight="1">
      <c r="W7692" s="744"/>
    </row>
    <row r="7693" spans="23:23" ht="24" customHeight="1">
      <c r="W7693" s="744"/>
    </row>
    <row r="7694" spans="23:23" ht="24" customHeight="1">
      <c r="W7694" s="744"/>
    </row>
    <row r="7695" spans="23:23" ht="24" customHeight="1">
      <c r="W7695" s="744"/>
    </row>
    <row r="7696" spans="23:23" ht="24" customHeight="1">
      <c r="W7696" s="744"/>
    </row>
    <row r="7697" spans="23:23" ht="24" customHeight="1">
      <c r="W7697" s="744"/>
    </row>
    <row r="7698" spans="23:23" ht="24" customHeight="1">
      <c r="W7698" s="744"/>
    </row>
    <row r="7699" spans="23:23" ht="24" customHeight="1">
      <c r="W7699" s="744"/>
    </row>
    <row r="7700" spans="23:23" ht="24" customHeight="1">
      <c r="W7700" s="744"/>
    </row>
    <row r="7701" spans="23:23" ht="24" customHeight="1">
      <c r="W7701" s="744"/>
    </row>
    <row r="7702" spans="23:23" ht="24" customHeight="1">
      <c r="W7702" s="744"/>
    </row>
    <row r="7703" spans="23:23" ht="24" customHeight="1">
      <c r="W7703" s="744"/>
    </row>
    <row r="7704" spans="23:23" ht="24" customHeight="1">
      <c r="W7704" s="744"/>
    </row>
    <row r="7705" spans="23:23" ht="24" customHeight="1">
      <c r="W7705" s="744"/>
    </row>
    <row r="7706" spans="23:23" ht="24" customHeight="1">
      <c r="W7706" s="744"/>
    </row>
    <row r="7707" spans="23:23" ht="24" customHeight="1">
      <c r="W7707" s="744"/>
    </row>
    <row r="7708" spans="23:23" ht="24" customHeight="1">
      <c r="W7708" s="744"/>
    </row>
    <row r="7709" spans="23:23" ht="24" customHeight="1">
      <c r="W7709" s="744"/>
    </row>
    <row r="7710" spans="23:23" ht="24" customHeight="1">
      <c r="W7710" s="744"/>
    </row>
    <row r="7711" spans="23:23" ht="24" customHeight="1">
      <c r="W7711" s="744"/>
    </row>
    <row r="7712" spans="23:23" ht="24" customHeight="1">
      <c r="W7712" s="744"/>
    </row>
    <row r="7713" spans="23:23" ht="24" customHeight="1">
      <c r="W7713" s="744"/>
    </row>
    <row r="7714" spans="23:23" ht="24" customHeight="1">
      <c r="W7714" s="744"/>
    </row>
    <row r="7715" spans="23:23" ht="24" customHeight="1">
      <c r="W7715" s="744"/>
    </row>
    <row r="7716" spans="23:23" ht="24" customHeight="1">
      <c r="W7716" s="744"/>
    </row>
    <row r="7717" spans="23:23" ht="24" customHeight="1">
      <c r="W7717" s="744"/>
    </row>
    <row r="7718" spans="23:23" ht="24" customHeight="1">
      <c r="W7718" s="744"/>
    </row>
    <row r="7719" spans="23:23" ht="24" customHeight="1">
      <c r="W7719" s="744"/>
    </row>
    <row r="7720" spans="23:23" ht="24" customHeight="1">
      <c r="W7720" s="744"/>
    </row>
    <row r="7721" spans="23:23" ht="24" customHeight="1">
      <c r="W7721" s="744"/>
    </row>
    <row r="7722" spans="23:23" ht="24" customHeight="1">
      <c r="W7722" s="744"/>
    </row>
    <row r="7723" spans="23:23" ht="24" customHeight="1">
      <c r="W7723" s="744"/>
    </row>
    <row r="7724" spans="23:23" ht="24" customHeight="1">
      <c r="W7724" s="744"/>
    </row>
    <row r="7725" spans="23:23" ht="24" customHeight="1">
      <c r="W7725" s="744"/>
    </row>
    <row r="7726" spans="23:23" ht="24" customHeight="1">
      <c r="W7726" s="744"/>
    </row>
    <row r="7727" spans="23:23" ht="24" customHeight="1">
      <c r="W7727" s="744"/>
    </row>
    <row r="7728" spans="23:23" ht="24" customHeight="1">
      <c r="W7728" s="744"/>
    </row>
    <row r="7729" spans="23:23" ht="24" customHeight="1">
      <c r="W7729" s="744"/>
    </row>
    <row r="7730" spans="23:23" ht="24" customHeight="1">
      <c r="W7730" s="744"/>
    </row>
    <row r="7731" spans="23:23" ht="24" customHeight="1">
      <c r="W7731" s="744"/>
    </row>
    <row r="7732" spans="23:23" ht="24" customHeight="1">
      <c r="W7732" s="744"/>
    </row>
    <row r="7733" spans="23:23" ht="24" customHeight="1">
      <c r="W7733" s="744"/>
    </row>
    <row r="7734" spans="23:23" ht="24" customHeight="1">
      <c r="W7734" s="744"/>
    </row>
    <row r="7735" spans="23:23" ht="24" customHeight="1">
      <c r="W7735" s="744"/>
    </row>
    <row r="7736" spans="23:23" ht="24" customHeight="1">
      <c r="W7736" s="744"/>
    </row>
    <row r="7737" spans="23:23" ht="24" customHeight="1">
      <c r="W7737" s="744"/>
    </row>
    <row r="7738" spans="23:23" ht="24" customHeight="1">
      <c r="W7738" s="744"/>
    </row>
    <row r="7739" spans="23:23" ht="24" customHeight="1">
      <c r="W7739" s="744"/>
    </row>
    <row r="7740" spans="23:23" ht="24" customHeight="1">
      <c r="W7740" s="744"/>
    </row>
    <row r="7741" spans="23:23" ht="24" customHeight="1">
      <c r="W7741" s="744"/>
    </row>
    <row r="7742" spans="23:23" ht="24" customHeight="1">
      <c r="W7742" s="744"/>
    </row>
    <row r="7743" spans="23:23" ht="24" customHeight="1">
      <c r="W7743" s="744"/>
    </row>
    <row r="7744" spans="23:23" ht="24" customHeight="1">
      <c r="W7744" s="744"/>
    </row>
    <row r="7745" spans="23:23" ht="24" customHeight="1">
      <c r="W7745" s="744"/>
    </row>
    <row r="7746" spans="23:23" ht="24" customHeight="1">
      <c r="W7746" s="744"/>
    </row>
    <row r="7747" spans="23:23" ht="24" customHeight="1">
      <c r="W7747" s="744"/>
    </row>
    <row r="7748" spans="23:23" ht="24" customHeight="1">
      <c r="W7748" s="744"/>
    </row>
    <row r="7749" spans="23:23" ht="24" customHeight="1">
      <c r="W7749" s="744"/>
    </row>
    <row r="7750" spans="23:23" ht="24" customHeight="1">
      <c r="W7750" s="744"/>
    </row>
    <row r="7751" spans="23:23" ht="24" customHeight="1">
      <c r="W7751" s="744"/>
    </row>
    <row r="7752" spans="23:23" ht="24" customHeight="1">
      <c r="W7752" s="744"/>
    </row>
    <row r="7753" spans="23:23" ht="24" customHeight="1">
      <c r="W7753" s="744"/>
    </row>
    <row r="7754" spans="23:23" ht="24" customHeight="1">
      <c r="W7754" s="744"/>
    </row>
    <row r="7755" spans="23:23" ht="24" customHeight="1">
      <c r="W7755" s="744"/>
    </row>
    <row r="7756" spans="23:23" ht="24" customHeight="1">
      <c r="W7756" s="744"/>
    </row>
    <row r="7757" spans="23:23" ht="24" customHeight="1">
      <c r="W7757" s="744"/>
    </row>
    <row r="7758" spans="23:23" ht="24" customHeight="1">
      <c r="W7758" s="744"/>
    </row>
    <row r="7759" spans="23:23" ht="24" customHeight="1">
      <c r="W7759" s="744"/>
    </row>
    <row r="7760" spans="23:23" ht="24" customHeight="1">
      <c r="W7760" s="744"/>
    </row>
    <row r="7761" spans="23:23" ht="24" customHeight="1">
      <c r="W7761" s="744"/>
    </row>
    <row r="7762" spans="23:23" ht="24" customHeight="1">
      <c r="W7762" s="744"/>
    </row>
    <row r="7763" spans="23:23" ht="24" customHeight="1">
      <c r="W7763" s="744"/>
    </row>
    <row r="7764" spans="23:23" ht="24" customHeight="1">
      <c r="W7764" s="744"/>
    </row>
    <row r="7765" spans="23:23" ht="24" customHeight="1">
      <c r="W7765" s="744"/>
    </row>
    <row r="7766" spans="23:23" ht="24" customHeight="1">
      <c r="W7766" s="744"/>
    </row>
    <row r="7767" spans="23:23" ht="24" customHeight="1">
      <c r="W7767" s="744"/>
    </row>
    <row r="7768" spans="23:23" ht="24" customHeight="1">
      <c r="W7768" s="744"/>
    </row>
    <row r="7769" spans="23:23" ht="24" customHeight="1">
      <c r="W7769" s="744"/>
    </row>
    <row r="7770" spans="23:23" ht="24" customHeight="1">
      <c r="W7770" s="744"/>
    </row>
    <row r="7771" spans="23:23" ht="24" customHeight="1">
      <c r="W7771" s="744"/>
    </row>
    <row r="7772" spans="23:23" ht="24" customHeight="1">
      <c r="W7772" s="744"/>
    </row>
    <row r="7773" spans="23:23" ht="24" customHeight="1">
      <c r="W7773" s="744"/>
    </row>
    <row r="7774" spans="23:23" ht="24" customHeight="1">
      <c r="W7774" s="744"/>
    </row>
    <row r="7775" spans="23:23" ht="24" customHeight="1">
      <c r="W7775" s="744"/>
    </row>
    <row r="7776" spans="23:23" ht="24" customHeight="1">
      <c r="W7776" s="744"/>
    </row>
    <row r="7777" spans="23:23" ht="24" customHeight="1">
      <c r="W7777" s="744"/>
    </row>
    <row r="7778" spans="23:23" ht="24" customHeight="1">
      <c r="W7778" s="744"/>
    </row>
    <row r="7779" spans="23:23" ht="24" customHeight="1">
      <c r="W7779" s="744"/>
    </row>
    <row r="7780" spans="23:23" ht="24" customHeight="1">
      <c r="W7780" s="744"/>
    </row>
    <row r="7781" spans="23:23" ht="24" customHeight="1">
      <c r="W7781" s="744"/>
    </row>
    <row r="7782" spans="23:23" ht="24" customHeight="1">
      <c r="W7782" s="744"/>
    </row>
    <row r="7783" spans="23:23" ht="24" customHeight="1">
      <c r="W7783" s="744"/>
    </row>
    <row r="7784" spans="23:23" ht="24" customHeight="1">
      <c r="W7784" s="744"/>
    </row>
    <row r="7785" spans="23:23" ht="24" customHeight="1">
      <c r="W7785" s="744"/>
    </row>
    <row r="7786" spans="23:23" ht="24" customHeight="1">
      <c r="W7786" s="744"/>
    </row>
    <row r="7787" spans="23:23" ht="24" customHeight="1">
      <c r="W7787" s="744"/>
    </row>
    <row r="7788" spans="23:23" ht="24" customHeight="1">
      <c r="W7788" s="744"/>
    </row>
    <row r="7789" spans="23:23" ht="24" customHeight="1">
      <c r="W7789" s="744"/>
    </row>
    <row r="7790" spans="23:23" ht="24" customHeight="1">
      <c r="W7790" s="744"/>
    </row>
    <row r="7791" spans="23:23" ht="24" customHeight="1">
      <c r="W7791" s="744"/>
    </row>
    <row r="7792" spans="23:23" ht="24" customHeight="1">
      <c r="W7792" s="744"/>
    </row>
    <row r="7793" spans="23:23" ht="24" customHeight="1">
      <c r="W7793" s="744"/>
    </row>
    <row r="7794" spans="23:23" ht="24" customHeight="1">
      <c r="W7794" s="744"/>
    </row>
    <row r="7795" spans="23:23" ht="24" customHeight="1">
      <c r="W7795" s="744"/>
    </row>
    <row r="7796" spans="23:23" ht="24" customHeight="1">
      <c r="W7796" s="744"/>
    </row>
    <row r="7797" spans="23:23" ht="24" customHeight="1">
      <c r="W7797" s="744"/>
    </row>
    <row r="7798" spans="23:23" ht="24" customHeight="1">
      <c r="W7798" s="744"/>
    </row>
    <row r="7799" spans="23:23" ht="24" customHeight="1">
      <c r="W7799" s="744"/>
    </row>
    <row r="7800" spans="23:23" ht="24" customHeight="1">
      <c r="W7800" s="744"/>
    </row>
    <row r="7801" spans="23:23" ht="24" customHeight="1">
      <c r="W7801" s="744"/>
    </row>
    <row r="7802" spans="23:23" ht="24" customHeight="1">
      <c r="W7802" s="744"/>
    </row>
    <row r="7803" spans="23:23" ht="24" customHeight="1">
      <c r="W7803" s="744"/>
    </row>
    <row r="7804" spans="23:23" ht="24" customHeight="1">
      <c r="W7804" s="744"/>
    </row>
    <row r="7805" spans="23:23" ht="24" customHeight="1">
      <c r="W7805" s="744"/>
    </row>
    <row r="7806" spans="23:23" ht="24" customHeight="1">
      <c r="W7806" s="744"/>
    </row>
    <row r="7807" spans="23:23" ht="24" customHeight="1">
      <c r="W7807" s="744"/>
    </row>
    <row r="7808" spans="23:23" ht="24" customHeight="1">
      <c r="W7808" s="744"/>
    </row>
    <row r="7809" spans="23:23" ht="24" customHeight="1">
      <c r="W7809" s="744"/>
    </row>
    <row r="7810" spans="23:23" ht="24" customHeight="1">
      <c r="W7810" s="744"/>
    </row>
    <row r="7811" spans="23:23" ht="24" customHeight="1">
      <c r="W7811" s="744"/>
    </row>
    <row r="7812" spans="23:23" ht="24" customHeight="1">
      <c r="W7812" s="744"/>
    </row>
    <row r="7813" spans="23:23" ht="24" customHeight="1">
      <c r="W7813" s="744"/>
    </row>
    <row r="7814" spans="23:23" ht="24" customHeight="1">
      <c r="W7814" s="744"/>
    </row>
    <row r="7815" spans="23:23" ht="24" customHeight="1">
      <c r="W7815" s="744"/>
    </row>
    <row r="7816" spans="23:23" ht="24" customHeight="1">
      <c r="W7816" s="744"/>
    </row>
    <row r="7817" spans="23:23" ht="24" customHeight="1">
      <c r="W7817" s="744"/>
    </row>
    <row r="7818" spans="23:23" ht="24" customHeight="1">
      <c r="W7818" s="744"/>
    </row>
    <row r="7819" spans="23:23" ht="24" customHeight="1">
      <c r="W7819" s="744"/>
    </row>
    <row r="7820" spans="23:23" ht="24" customHeight="1">
      <c r="W7820" s="744"/>
    </row>
    <row r="7821" spans="23:23" ht="24" customHeight="1">
      <c r="W7821" s="744"/>
    </row>
    <row r="7822" spans="23:23" ht="24" customHeight="1">
      <c r="W7822" s="744"/>
    </row>
    <row r="7823" spans="23:23" ht="24" customHeight="1">
      <c r="W7823" s="744"/>
    </row>
    <row r="7824" spans="23:23" ht="24" customHeight="1">
      <c r="W7824" s="744"/>
    </row>
    <row r="7825" spans="23:23" ht="24" customHeight="1">
      <c r="W7825" s="744"/>
    </row>
    <row r="7826" spans="23:23" ht="24" customHeight="1">
      <c r="W7826" s="744"/>
    </row>
    <row r="7827" spans="23:23" ht="24" customHeight="1">
      <c r="W7827" s="744"/>
    </row>
    <row r="7828" spans="23:23" ht="24" customHeight="1">
      <c r="W7828" s="744"/>
    </row>
    <row r="7829" spans="23:23" ht="24" customHeight="1">
      <c r="W7829" s="744"/>
    </row>
    <row r="7830" spans="23:23" ht="24" customHeight="1">
      <c r="W7830" s="744"/>
    </row>
    <row r="7831" spans="23:23" ht="24" customHeight="1">
      <c r="W7831" s="744"/>
    </row>
    <row r="7832" spans="23:23" ht="24" customHeight="1">
      <c r="W7832" s="744"/>
    </row>
    <row r="7833" spans="23:23" ht="24" customHeight="1">
      <c r="W7833" s="744"/>
    </row>
    <row r="7834" spans="23:23" ht="24" customHeight="1">
      <c r="W7834" s="744"/>
    </row>
    <row r="7835" spans="23:23" ht="24" customHeight="1">
      <c r="W7835" s="744"/>
    </row>
    <row r="7836" spans="23:23" ht="24" customHeight="1">
      <c r="W7836" s="744"/>
    </row>
    <row r="7837" spans="23:23" ht="24" customHeight="1">
      <c r="W7837" s="744"/>
    </row>
    <row r="7838" spans="23:23" ht="24" customHeight="1">
      <c r="W7838" s="744"/>
    </row>
    <row r="7839" spans="23:23" ht="24" customHeight="1">
      <c r="W7839" s="744"/>
    </row>
    <row r="7840" spans="23:23" ht="24" customHeight="1">
      <c r="W7840" s="744"/>
    </row>
    <row r="7841" spans="23:23" ht="24" customHeight="1">
      <c r="W7841" s="744"/>
    </row>
    <row r="7842" spans="23:23" ht="24" customHeight="1">
      <c r="W7842" s="744"/>
    </row>
    <row r="7843" spans="23:23" ht="24" customHeight="1">
      <c r="W7843" s="744"/>
    </row>
    <row r="7844" spans="23:23" ht="24" customHeight="1">
      <c r="W7844" s="744"/>
    </row>
    <row r="7845" spans="23:23" ht="24" customHeight="1">
      <c r="W7845" s="744"/>
    </row>
    <row r="7846" spans="23:23" ht="24" customHeight="1">
      <c r="W7846" s="744"/>
    </row>
    <row r="7847" spans="23:23" ht="24" customHeight="1">
      <c r="W7847" s="744"/>
    </row>
    <row r="7848" spans="23:23" ht="24" customHeight="1">
      <c r="W7848" s="744"/>
    </row>
    <row r="7849" spans="23:23" ht="24" customHeight="1">
      <c r="W7849" s="744"/>
    </row>
    <row r="7850" spans="23:23" ht="24" customHeight="1">
      <c r="W7850" s="744"/>
    </row>
    <row r="7851" spans="23:23" ht="24" customHeight="1">
      <c r="W7851" s="744"/>
    </row>
    <row r="7852" spans="23:23" ht="24" customHeight="1">
      <c r="W7852" s="744"/>
    </row>
    <row r="7853" spans="23:23" ht="24" customHeight="1">
      <c r="W7853" s="744"/>
    </row>
    <row r="7854" spans="23:23" ht="24" customHeight="1">
      <c r="W7854" s="744"/>
    </row>
    <row r="7855" spans="23:23" ht="24" customHeight="1">
      <c r="W7855" s="744"/>
    </row>
    <row r="7856" spans="23:23" ht="24" customHeight="1">
      <c r="W7856" s="744"/>
    </row>
    <row r="7857" spans="23:23" ht="24" customHeight="1">
      <c r="W7857" s="744"/>
    </row>
    <row r="7858" spans="23:23" ht="24" customHeight="1">
      <c r="W7858" s="744"/>
    </row>
    <row r="7859" spans="23:23" ht="24" customHeight="1">
      <c r="W7859" s="744"/>
    </row>
    <row r="7860" spans="23:23" ht="24" customHeight="1">
      <c r="W7860" s="744"/>
    </row>
    <row r="7861" spans="23:23" ht="24" customHeight="1">
      <c r="W7861" s="744"/>
    </row>
    <row r="7862" spans="23:23" ht="24" customHeight="1">
      <c r="W7862" s="744"/>
    </row>
    <row r="7863" spans="23:23" ht="24" customHeight="1">
      <c r="W7863" s="744"/>
    </row>
    <row r="7864" spans="23:23" ht="24" customHeight="1">
      <c r="W7864" s="744"/>
    </row>
    <row r="7865" spans="23:23" ht="24" customHeight="1">
      <c r="W7865" s="744"/>
    </row>
    <row r="7866" spans="23:23" ht="24" customHeight="1">
      <c r="W7866" s="744"/>
    </row>
    <row r="7867" spans="23:23" ht="24" customHeight="1">
      <c r="W7867" s="744"/>
    </row>
    <row r="7868" spans="23:23" ht="24" customHeight="1">
      <c r="W7868" s="744"/>
    </row>
    <row r="7869" spans="23:23" ht="24" customHeight="1">
      <c r="W7869" s="744"/>
    </row>
    <row r="7870" spans="23:23" ht="24" customHeight="1">
      <c r="W7870" s="744"/>
    </row>
    <row r="7871" spans="23:23" ht="24" customHeight="1">
      <c r="W7871" s="744"/>
    </row>
    <row r="7872" spans="23:23" ht="24" customHeight="1">
      <c r="W7872" s="744"/>
    </row>
    <row r="7873" spans="23:23" ht="24" customHeight="1">
      <c r="W7873" s="744"/>
    </row>
    <row r="7874" spans="23:23" ht="24" customHeight="1">
      <c r="W7874" s="744"/>
    </row>
    <row r="7875" spans="23:23" ht="24" customHeight="1">
      <c r="W7875" s="744"/>
    </row>
    <row r="7876" spans="23:23" ht="24" customHeight="1">
      <c r="W7876" s="744"/>
    </row>
    <row r="7877" spans="23:23" ht="24" customHeight="1">
      <c r="W7877" s="744"/>
    </row>
    <row r="7878" spans="23:23" ht="24" customHeight="1">
      <c r="W7878" s="744"/>
    </row>
    <row r="7879" spans="23:23" ht="24" customHeight="1">
      <c r="W7879" s="744"/>
    </row>
    <row r="7880" spans="23:23" ht="24" customHeight="1">
      <c r="W7880" s="744"/>
    </row>
    <row r="7881" spans="23:23" ht="24" customHeight="1">
      <c r="W7881" s="744"/>
    </row>
    <row r="7882" spans="23:23" ht="24" customHeight="1">
      <c r="W7882" s="744"/>
    </row>
    <row r="7883" spans="23:23" ht="24" customHeight="1">
      <c r="W7883" s="744"/>
    </row>
    <row r="7884" spans="23:23" ht="24" customHeight="1">
      <c r="W7884" s="744"/>
    </row>
    <row r="7885" spans="23:23" ht="24" customHeight="1">
      <c r="W7885" s="744"/>
    </row>
    <row r="7886" spans="23:23" ht="24" customHeight="1">
      <c r="W7886" s="744"/>
    </row>
    <row r="7887" spans="23:23" ht="24" customHeight="1">
      <c r="W7887" s="744"/>
    </row>
    <row r="7888" spans="23:23" ht="24" customHeight="1">
      <c r="W7888" s="744"/>
    </row>
    <row r="7889" spans="23:23" ht="24" customHeight="1">
      <c r="W7889" s="744"/>
    </row>
    <row r="7890" spans="23:23" ht="24" customHeight="1">
      <c r="W7890" s="744"/>
    </row>
    <row r="7891" spans="23:23" ht="24" customHeight="1">
      <c r="W7891" s="744"/>
    </row>
    <row r="7892" spans="23:23" ht="24" customHeight="1">
      <c r="W7892" s="744"/>
    </row>
    <row r="7893" spans="23:23" ht="24" customHeight="1">
      <c r="W7893" s="744"/>
    </row>
    <row r="7894" spans="23:23" ht="24" customHeight="1">
      <c r="W7894" s="744"/>
    </row>
    <row r="7895" spans="23:23" ht="24" customHeight="1">
      <c r="W7895" s="744"/>
    </row>
    <row r="7896" spans="23:23" ht="24" customHeight="1">
      <c r="W7896" s="744"/>
    </row>
    <row r="7897" spans="23:23" ht="24" customHeight="1">
      <c r="W7897" s="744"/>
    </row>
    <row r="7898" spans="23:23" ht="24" customHeight="1">
      <c r="W7898" s="744"/>
    </row>
    <row r="7899" spans="23:23" ht="24" customHeight="1">
      <c r="W7899" s="744"/>
    </row>
    <row r="7900" spans="23:23" ht="24" customHeight="1">
      <c r="W7900" s="744"/>
    </row>
    <row r="7901" spans="23:23" ht="24" customHeight="1">
      <c r="W7901" s="744"/>
    </row>
    <row r="7902" spans="23:23" ht="24" customHeight="1">
      <c r="W7902" s="744"/>
    </row>
    <row r="7903" spans="23:23" ht="24" customHeight="1">
      <c r="W7903" s="744"/>
    </row>
    <row r="7904" spans="23:23" ht="24" customHeight="1">
      <c r="W7904" s="744"/>
    </row>
    <row r="7905" spans="23:23" ht="24" customHeight="1">
      <c r="W7905" s="744"/>
    </row>
    <row r="7906" spans="23:23" ht="24" customHeight="1">
      <c r="W7906" s="744"/>
    </row>
    <row r="7907" spans="23:23" ht="24" customHeight="1">
      <c r="W7907" s="744"/>
    </row>
    <row r="7908" spans="23:23" ht="24" customHeight="1">
      <c r="W7908" s="744"/>
    </row>
    <row r="7909" spans="23:23" ht="24" customHeight="1">
      <c r="W7909" s="744"/>
    </row>
    <row r="7910" spans="23:23" ht="24" customHeight="1">
      <c r="W7910" s="744"/>
    </row>
    <row r="7911" spans="23:23" ht="24" customHeight="1">
      <c r="W7911" s="744"/>
    </row>
    <row r="7912" spans="23:23" ht="24" customHeight="1">
      <c r="W7912" s="744"/>
    </row>
    <row r="7913" spans="23:23" ht="24" customHeight="1">
      <c r="W7913" s="744"/>
    </row>
    <row r="7914" spans="23:23" ht="24" customHeight="1">
      <c r="W7914" s="744"/>
    </row>
    <row r="7915" spans="23:23" ht="24" customHeight="1">
      <c r="W7915" s="744"/>
    </row>
    <row r="7916" spans="23:23" ht="24" customHeight="1">
      <c r="W7916" s="744"/>
    </row>
    <row r="7917" spans="23:23" ht="24" customHeight="1">
      <c r="W7917" s="744"/>
    </row>
    <row r="7918" spans="23:23" ht="24" customHeight="1">
      <c r="W7918" s="744"/>
    </row>
    <row r="7919" spans="23:23" ht="24" customHeight="1">
      <c r="W7919" s="744"/>
    </row>
    <row r="7920" spans="23:23" ht="24" customHeight="1">
      <c r="W7920" s="744"/>
    </row>
    <row r="7921" spans="23:23" ht="24" customHeight="1">
      <c r="W7921" s="744"/>
    </row>
    <row r="7922" spans="23:23" ht="24" customHeight="1">
      <c r="W7922" s="744"/>
    </row>
    <row r="7923" spans="23:23" ht="24" customHeight="1">
      <c r="W7923" s="744"/>
    </row>
    <row r="7924" spans="23:23" ht="24" customHeight="1">
      <c r="W7924" s="744"/>
    </row>
    <row r="7925" spans="23:23" ht="24" customHeight="1">
      <c r="W7925" s="744"/>
    </row>
    <row r="7926" spans="23:23" ht="24" customHeight="1">
      <c r="W7926" s="744"/>
    </row>
    <row r="7927" spans="23:23" ht="24" customHeight="1">
      <c r="W7927" s="744"/>
    </row>
    <row r="7928" spans="23:23" ht="24" customHeight="1">
      <c r="W7928" s="744"/>
    </row>
    <row r="7929" spans="23:23" ht="24" customHeight="1">
      <c r="W7929" s="744"/>
    </row>
    <row r="7930" spans="23:23" ht="24" customHeight="1">
      <c r="W7930" s="744"/>
    </row>
    <row r="7931" spans="23:23" ht="24" customHeight="1">
      <c r="W7931" s="744"/>
    </row>
    <row r="7932" spans="23:23" ht="24" customHeight="1">
      <c r="W7932" s="744"/>
    </row>
    <row r="7933" spans="23:23" ht="24" customHeight="1">
      <c r="W7933" s="744"/>
    </row>
    <row r="7934" spans="23:23" ht="24" customHeight="1">
      <c r="W7934" s="744"/>
    </row>
    <row r="7935" spans="23:23" ht="24" customHeight="1">
      <c r="W7935" s="744"/>
    </row>
    <row r="7936" spans="23:23" ht="24" customHeight="1">
      <c r="W7936" s="744"/>
    </row>
    <row r="7937" spans="23:23" ht="24" customHeight="1">
      <c r="W7937" s="744"/>
    </row>
    <row r="7938" spans="23:23" ht="24" customHeight="1">
      <c r="W7938" s="744"/>
    </row>
    <row r="7939" spans="23:23" ht="24" customHeight="1">
      <c r="W7939" s="744"/>
    </row>
    <row r="7940" spans="23:23" ht="24" customHeight="1">
      <c r="W7940" s="744"/>
    </row>
    <row r="7941" spans="23:23" ht="24" customHeight="1">
      <c r="W7941" s="744"/>
    </row>
    <row r="7942" spans="23:23" ht="24" customHeight="1">
      <c r="W7942" s="744"/>
    </row>
    <row r="7943" spans="23:23" ht="24" customHeight="1">
      <c r="W7943" s="744"/>
    </row>
    <row r="7944" spans="23:23" ht="24" customHeight="1">
      <c r="W7944" s="744"/>
    </row>
    <row r="7945" spans="23:23" ht="24" customHeight="1">
      <c r="W7945" s="744"/>
    </row>
    <row r="7946" spans="23:23" ht="24" customHeight="1">
      <c r="W7946" s="744"/>
    </row>
    <row r="7947" spans="23:23" ht="24" customHeight="1">
      <c r="W7947" s="744"/>
    </row>
    <row r="7948" spans="23:23" ht="24" customHeight="1">
      <c r="W7948" s="744"/>
    </row>
    <row r="7949" spans="23:23" ht="24" customHeight="1">
      <c r="W7949" s="744"/>
    </row>
    <row r="7950" spans="23:23" ht="24" customHeight="1">
      <c r="W7950" s="744"/>
    </row>
    <row r="7951" spans="23:23" ht="24" customHeight="1">
      <c r="W7951" s="744"/>
    </row>
    <row r="7952" spans="23:23" ht="24" customHeight="1">
      <c r="W7952" s="744"/>
    </row>
    <row r="7953" spans="23:23" ht="24" customHeight="1">
      <c r="W7953" s="744"/>
    </row>
    <row r="7954" spans="23:23" ht="24" customHeight="1">
      <c r="W7954" s="744"/>
    </row>
    <row r="7955" spans="23:23" ht="24" customHeight="1">
      <c r="W7955" s="744"/>
    </row>
    <row r="7956" spans="23:23" ht="24" customHeight="1">
      <c r="W7956" s="744"/>
    </row>
    <row r="7957" spans="23:23" ht="24" customHeight="1">
      <c r="W7957" s="744"/>
    </row>
    <row r="7958" spans="23:23" ht="24" customHeight="1">
      <c r="W7958" s="744"/>
    </row>
    <row r="7959" spans="23:23" ht="24" customHeight="1">
      <c r="W7959" s="744"/>
    </row>
    <row r="7960" spans="23:23" ht="24" customHeight="1">
      <c r="W7960" s="744"/>
    </row>
    <row r="7961" spans="23:23" ht="24" customHeight="1">
      <c r="W7961" s="744"/>
    </row>
    <row r="7962" spans="23:23" ht="24" customHeight="1">
      <c r="W7962" s="744"/>
    </row>
    <row r="7963" spans="23:23" ht="24" customHeight="1">
      <c r="W7963" s="744"/>
    </row>
    <row r="7964" spans="23:23" ht="24" customHeight="1">
      <c r="W7964" s="744"/>
    </row>
    <row r="7965" spans="23:23" ht="24" customHeight="1">
      <c r="W7965" s="744"/>
    </row>
    <row r="7966" spans="23:23" ht="24" customHeight="1">
      <c r="W7966" s="744"/>
    </row>
    <row r="7967" spans="23:23" ht="24" customHeight="1">
      <c r="W7967" s="744"/>
    </row>
    <row r="7968" spans="23:23" ht="24" customHeight="1">
      <c r="W7968" s="744"/>
    </row>
    <row r="7969" spans="23:23" ht="24" customHeight="1">
      <c r="W7969" s="744"/>
    </row>
    <row r="7970" spans="23:23" ht="24" customHeight="1">
      <c r="W7970" s="744"/>
    </row>
    <row r="7971" spans="23:23" ht="24" customHeight="1">
      <c r="W7971" s="744"/>
    </row>
    <row r="7972" spans="23:23" ht="24" customHeight="1">
      <c r="W7972" s="744"/>
    </row>
    <row r="7973" spans="23:23" ht="24" customHeight="1">
      <c r="W7973" s="744"/>
    </row>
    <row r="7974" spans="23:23" ht="24" customHeight="1">
      <c r="W7974" s="744"/>
    </row>
    <row r="7975" spans="23:23" ht="24" customHeight="1">
      <c r="W7975" s="744"/>
    </row>
    <row r="7976" spans="23:23" ht="24" customHeight="1">
      <c r="W7976" s="744"/>
    </row>
    <row r="7977" spans="23:23" ht="24" customHeight="1">
      <c r="W7977" s="744"/>
    </row>
    <row r="7978" spans="23:23" ht="24" customHeight="1">
      <c r="W7978" s="744"/>
    </row>
    <row r="7979" spans="23:23" ht="24" customHeight="1">
      <c r="W7979" s="744"/>
    </row>
    <row r="7980" spans="23:23" ht="24" customHeight="1">
      <c r="W7980" s="744"/>
    </row>
    <row r="7981" spans="23:23" ht="24" customHeight="1">
      <c r="W7981" s="744"/>
    </row>
    <row r="7982" spans="23:23" ht="24" customHeight="1">
      <c r="W7982" s="744"/>
    </row>
    <row r="7983" spans="23:23" ht="24" customHeight="1">
      <c r="W7983" s="744"/>
    </row>
    <row r="7984" spans="23:23" ht="24" customHeight="1">
      <c r="W7984" s="744"/>
    </row>
    <row r="7985" spans="23:23" ht="24" customHeight="1">
      <c r="W7985" s="744"/>
    </row>
    <row r="7986" spans="23:23" ht="24" customHeight="1">
      <c r="W7986" s="744"/>
    </row>
    <row r="7987" spans="23:23" ht="24" customHeight="1">
      <c r="W7987" s="744"/>
    </row>
    <row r="7988" spans="23:23" ht="24" customHeight="1">
      <c r="W7988" s="744"/>
    </row>
    <row r="7989" spans="23:23" ht="24" customHeight="1">
      <c r="W7989" s="744"/>
    </row>
    <row r="7990" spans="23:23" ht="24" customHeight="1">
      <c r="W7990" s="744"/>
    </row>
    <row r="7991" spans="23:23" ht="24" customHeight="1">
      <c r="W7991" s="744"/>
    </row>
    <row r="7992" spans="23:23" ht="24" customHeight="1">
      <c r="W7992" s="744"/>
    </row>
    <row r="7993" spans="23:23" ht="24" customHeight="1">
      <c r="W7993" s="744"/>
    </row>
    <row r="7994" spans="23:23" ht="24" customHeight="1">
      <c r="W7994" s="744"/>
    </row>
    <row r="7995" spans="23:23" ht="24" customHeight="1">
      <c r="W7995" s="744"/>
    </row>
    <row r="7996" spans="23:23" ht="24" customHeight="1">
      <c r="W7996" s="744"/>
    </row>
    <row r="7997" spans="23:23" ht="24" customHeight="1">
      <c r="W7997" s="744"/>
    </row>
    <row r="7998" spans="23:23" ht="24" customHeight="1">
      <c r="W7998" s="744"/>
    </row>
    <row r="7999" spans="23:23" ht="24" customHeight="1">
      <c r="W7999" s="744"/>
    </row>
    <row r="8000" spans="23:23" ht="24" customHeight="1">
      <c r="W8000" s="744"/>
    </row>
    <row r="8001" spans="23:23" ht="24" customHeight="1">
      <c r="W8001" s="744"/>
    </row>
    <row r="8002" spans="23:23" ht="24" customHeight="1">
      <c r="W8002" s="744"/>
    </row>
    <row r="8003" spans="23:23" ht="24" customHeight="1">
      <c r="W8003" s="744"/>
    </row>
    <row r="8004" spans="23:23" ht="24" customHeight="1">
      <c r="W8004" s="744"/>
    </row>
    <row r="8005" spans="23:23" ht="24" customHeight="1">
      <c r="W8005" s="744"/>
    </row>
    <row r="8006" spans="23:23" ht="24" customHeight="1">
      <c r="W8006" s="744"/>
    </row>
    <row r="8007" spans="23:23" ht="24" customHeight="1">
      <c r="W8007" s="744"/>
    </row>
    <row r="8008" spans="23:23" ht="24" customHeight="1">
      <c r="W8008" s="744"/>
    </row>
    <row r="8009" spans="23:23" ht="24" customHeight="1">
      <c r="W8009" s="744"/>
    </row>
    <row r="8010" spans="23:23" ht="24" customHeight="1">
      <c r="W8010" s="744"/>
    </row>
    <row r="8011" spans="23:23" ht="24" customHeight="1">
      <c r="W8011" s="744"/>
    </row>
    <row r="8012" spans="23:23" ht="24" customHeight="1">
      <c r="W8012" s="744"/>
    </row>
    <row r="8013" spans="23:23" ht="24" customHeight="1">
      <c r="W8013" s="744"/>
    </row>
    <row r="8014" spans="23:23" ht="24" customHeight="1">
      <c r="W8014" s="744"/>
    </row>
    <row r="8015" spans="23:23" ht="24" customHeight="1">
      <c r="W8015" s="744"/>
    </row>
    <row r="8016" spans="23:23" ht="24" customHeight="1">
      <c r="W8016" s="744"/>
    </row>
    <row r="8017" spans="23:23" ht="24" customHeight="1">
      <c r="W8017" s="744"/>
    </row>
    <row r="8018" spans="23:23" ht="24" customHeight="1">
      <c r="W8018" s="744"/>
    </row>
    <row r="8019" spans="23:23" ht="24" customHeight="1">
      <c r="W8019" s="744"/>
    </row>
    <row r="8020" spans="23:23" ht="24" customHeight="1">
      <c r="W8020" s="744"/>
    </row>
    <row r="8021" spans="23:23" ht="24" customHeight="1">
      <c r="W8021" s="744"/>
    </row>
    <row r="8022" spans="23:23" ht="24" customHeight="1">
      <c r="W8022" s="744"/>
    </row>
    <row r="8023" spans="23:23" ht="24" customHeight="1">
      <c r="W8023" s="744"/>
    </row>
    <row r="8024" spans="23:23" ht="24" customHeight="1">
      <c r="W8024" s="744"/>
    </row>
    <row r="8025" spans="23:23" ht="24" customHeight="1">
      <c r="W8025" s="744"/>
    </row>
    <row r="8026" spans="23:23" ht="24" customHeight="1">
      <c r="W8026" s="744"/>
    </row>
    <row r="8027" spans="23:23" ht="24" customHeight="1">
      <c r="W8027" s="744"/>
    </row>
    <row r="8028" spans="23:23" ht="24" customHeight="1">
      <c r="W8028" s="744"/>
    </row>
    <row r="8029" spans="23:23" ht="24" customHeight="1">
      <c r="W8029" s="744"/>
    </row>
    <row r="8030" spans="23:23" ht="24" customHeight="1">
      <c r="W8030" s="744"/>
    </row>
    <row r="8031" spans="23:23" ht="24" customHeight="1">
      <c r="W8031" s="744"/>
    </row>
    <row r="8032" spans="23:23" ht="24" customHeight="1">
      <c r="W8032" s="744"/>
    </row>
    <row r="8033" spans="23:23" ht="24" customHeight="1">
      <c r="W8033" s="744"/>
    </row>
    <row r="8034" spans="23:23" ht="24" customHeight="1">
      <c r="W8034" s="744"/>
    </row>
    <row r="8035" spans="23:23" ht="24" customHeight="1">
      <c r="W8035" s="744"/>
    </row>
    <row r="8036" spans="23:23" ht="24" customHeight="1">
      <c r="W8036" s="744"/>
    </row>
    <row r="8037" spans="23:23" ht="24" customHeight="1">
      <c r="W8037" s="744"/>
    </row>
    <row r="8038" spans="23:23" ht="24" customHeight="1">
      <c r="W8038" s="744"/>
    </row>
    <row r="8039" spans="23:23" ht="24" customHeight="1">
      <c r="W8039" s="744"/>
    </row>
    <row r="8040" spans="23:23" ht="24" customHeight="1">
      <c r="W8040" s="744"/>
    </row>
    <row r="8041" spans="23:23" ht="24" customHeight="1">
      <c r="W8041" s="744"/>
    </row>
    <row r="8042" spans="23:23" ht="24" customHeight="1">
      <c r="W8042" s="744"/>
    </row>
    <row r="8043" spans="23:23" ht="24" customHeight="1">
      <c r="W8043" s="744"/>
    </row>
    <row r="8044" spans="23:23" ht="24" customHeight="1">
      <c r="W8044" s="744"/>
    </row>
    <row r="8045" spans="23:23" ht="24" customHeight="1">
      <c r="W8045" s="744"/>
    </row>
    <row r="8046" spans="23:23" ht="24" customHeight="1">
      <c r="W8046" s="744"/>
    </row>
    <row r="8047" spans="23:23" ht="24" customHeight="1">
      <c r="W8047" s="744"/>
    </row>
    <row r="8048" spans="23:23" ht="24" customHeight="1">
      <c r="W8048" s="744"/>
    </row>
    <row r="8049" spans="23:23" ht="24" customHeight="1">
      <c r="W8049" s="744"/>
    </row>
    <row r="8050" spans="23:23" ht="24" customHeight="1">
      <c r="W8050" s="744"/>
    </row>
    <row r="8051" spans="23:23" ht="24" customHeight="1">
      <c r="W8051" s="744"/>
    </row>
    <row r="8052" spans="23:23" ht="24" customHeight="1">
      <c r="W8052" s="744"/>
    </row>
    <row r="8053" spans="23:23" ht="24" customHeight="1">
      <c r="W8053" s="744"/>
    </row>
    <row r="8054" spans="23:23" ht="24" customHeight="1">
      <c r="W8054" s="744"/>
    </row>
    <row r="8055" spans="23:23" ht="24" customHeight="1">
      <c r="W8055" s="744"/>
    </row>
    <row r="8056" spans="23:23" ht="24" customHeight="1">
      <c r="W8056" s="744"/>
    </row>
    <row r="8057" spans="23:23" ht="24" customHeight="1">
      <c r="W8057" s="744"/>
    </row>
    <row r="8058" spans="23:23" ht="24" customHeight="1">
      <c r="W8058" s="744"/>
    </row>
    <row r="8059" spans="23:23" ht="24" customHeight="1">
      <c r="W8059" s="744"/>
    </row>
    <row r="8060" spans="23:23" ht="24" customHeight="1">
      <c r="W8060" s="744"/>
    </row>
    <row r="8061" spans="23:23" ht="24" customHeight="1">
      <c r="W8061" s="744"/>
    </row>
    <row r="8062" spans="23:23" ht="24" customHeight="1">
      <c r="W8062" s="744"/>
    </row>
    <row r="8063" spans="23:23" ht="24" customHeight="1">
      <c r="W8063" s="744"/>
    </row>
    <row r="8064" spans="23:23" ht="24" customHeight="1">
      <c r="W8064" s="744"/>
    </row>
    <row r="8065" spans="23:23" ht="24" customHeight="1">
      <c r="W8065" s="744"/>
    </row>
    <row r="8066" spans="23:23" ht="24" customHeight="1">
      <c r="W8066" s="744"/>
    </row>
    <row r="8067" spans="23:23" ht="24" customHeight="1">
      <c r="W8067" s="744"/>
    </row>
    <row r="8068" spans="23:23" ht="24" customHeight="1">
      <c r="W8068" s="744"/>
    </row>
    <row r="8069" spans="23:23" ht="24" customHeight="1">
      <c r="W8069" s="744"/>
    </row>
    <row r="8070" spans="23:23" ht="24" customHeight="1">
      <c r="W8070" s="744"/>
    </row>
    <row r="8071" spans="23:23" ht="24" customHeight="1">
      <c r="W8071" s="744"/>
    </row>
    <row r="8072" spans="23:23" ht="24" customHeight="1">
      <c r="W8072" s="744"/>
    </row>
    <row r="8073" spans="23:23" ht="24" customHeight="1">
      <c r="W8073" s="744"/>
    </row>
    <row r="8074" spans="23:23" ht="24" customHeight="1">
      <c r="W8074" s="744"/>
    </row>
    <row r="8075" spans="23:23" ht="24" customHeight="1">
      <c r="W8075" s="744"/>
    </row>
    <row r="8076" spans="23:23" ht="24" customHeight="1">
      <c r="W8076" s="744"/>
    </row>
    <row r="8077" spans="23:23" ht="24" customHeight="1">
      <c r="W8077" s="744"/>
    </row>
    <row r="8078" spans="23:23" ht="24" customHeight="1">
      <c r="W8078" s="744"/>
    </row>
    <row r="8079" spans="23:23" ht="24" customHeight="1">
      <c r="W8079" s="744"/>
    </row>
    <row r="8080" spans="23:23" ht="24" customHeight="1">
      <c r="W8080" s="744"/>
    </row>
    <row r="8081" spans="23:23" ht="24" customHeight="1">
      <c r="W8081" s="744"/>
    </row>
    <row r="8082" spans="23:23" ht="24" customHeight="1">
      <c r="W8082" s="744"/>
    </row>
    <row r="8083" spans="23:23" ht="24" customHeight="1">
      <c r="W8083" s="744"/>
    </row>
    <row r="8084" spans="23:23" ht="24" customHeight="1">
      <c r="W8084" s="744"/>
    </row>
    <row r="8085" spans="23:23" ht="24" customHeight="1">
      <c r="W8085" s="744"/>
    </row>
    <row r="8086" spans="23:23" ht="24" customHeight="1">
      <c r="W8086" s="744"/>
    </row>
    <row r="8087" spans="23:23" ht="24" customHeight="1">
      <c r="W8087" s="744"/>
    </row>
    <row r="8088" spans="23:23" ht="24" customHeight="1">
      <c r="W8088" s="744"/>
    </row>
    <row r="8089" spans="23:23" ht="24" customHeight="1">
      <c r="W8089" s="744"/>
    </row>
    <row r="8090" spans="23:23" ht="24" customHeight="1">
      <c r="W8090" s="744"/>
    </row>
    <row r="8091" spans="23:23" ht="24" customHeight="1">
      <c r="W8091" s="744"/>
    </row>
    <row r="8092" spans="23:23" ht="24" customHeight="1">
      <c r="W8092" s="744"/>
    </row>
    <row r="8093" spans="23:23" ht="24" customHeight="1">
      <c r="W8093" s="744"/>
    </row>
    <row r="8094" spans="23:23" ht="24" customHeight="1">
      <c r="W8094" s="744"/>
    </row>
    <row r="8095" spans="23:23" ht="24" customHeight="1">
      <c r="W8095" s="744"/>
    </row>
    <row r="8096" spans="23:23" ht="24" customHeight="1">
      <c r="W8096" s="744"/>
    </row>
    <row r="8097" spans="23:23" ht="24" customHeight="1">
      <c r="W8097" s="744"/>
    </row>
    <row r="8098" spans="23:23" ht="24" customHeight="1">
      <c r="W8098" s="744"/>
    </row>
    <row r="8099" spans="23:23" ht="24" customHeight="1">
      <c r="W8099" s="744"/>
    </row>
    <row r="8100" spans="23:23" ht="24" customHeight="1">
      <c r="W8100" s="744"/>
    </row>
    <row r="8101" spans="23:23" ht="24" customHeight="1">
      <c r="W8101" s="744"/>
    </row>
    <row r="8102" spans="23:23" ht="24" customHeight="1">
      <c r="W8102" s="744"/>
    </row>
    <row r="8103" spans="23:23" ht="24" customHeight="1">
      <c r="W8103" s="744"/>
    </row>
    <row r="8104" spans="23:23" ht="24" customHeight="1">
      <c r="W8104" s="744"/>
    </row>
    <row r="8105" spans="23:23" ht="24" customHeight="1">
      <c r="W8105" s="744"/>
    </row>
    <row r="8106" spans="23:23" ht="24" customHeight="1">
      <c r="W8106" s="744"/>
    </row>
    <row r="8107" spans="23:23" ht="24" customHeight="1">
      <c r="W8107" s="744"/>
    </row>
    <row r="8108" spans="23:23" ht="24" customHeight="1">
      <c r="W8108" s="744"/>
    </row>
    <row r="8109" spans="23:23" ht="24" customHeight="1">
      <c r="W8109" s="744"/>
    </row>
    <row r="8110" spans="23:23" ht="24" customHeight="1">
      <c r="W8110" s="744"/>
    </row>
    <row r="8111" spans="23:23" ht="24" customHeight="1">
      <c r="W8111" s="744"/>
    </row>
    <row r="8112" spans="23:23" ht="24" customHeight="1">
      <c r="W8112" s="744"/>
    </row>
    <row r="8113" spans="23:23" ht="24" customHeight="1">
      <c r="W8113" s="744"/>
    </row>
    <row r="8114" spans="23:23" ht="24" customHeight="1">
      <c r="W8114" s="744"/>
    </row>
    <row r="8115" spans="23:23" ht="24" customHeight="1">
      <c r="W8115" s="744"/>
    </row>
    <row r="8116" spans="23:23" ht="24" customHeight="1">
      <c r="W8116" s="744"/>
    </row>
    <row r="8117" spans="23:23" ht="24" customHeight="1">
      <c r="W8117" s="744"/>
    </row>
    <row r="8118" spans="23:23" ht="24" customHeight="1">
      <c r="W8118" s="744"/>
    </row>
    <row r="8119" spans="23:23" ht="24" customHeight="1">
      <c r="W8119" s="744"/>
    </row>
    <row r="8120" spans="23:23" ht="24" customHeight="1">
      <c r="W8120" s="744"/>
    </row>
    <row r="8121" spans="23:23" ht="24" customHeight="1">
      <c r="W8121" s="744"/>
    </row>
    <row r="8122" spans="23:23" ht="24" customHeight="1">
      <c r="W8122" s="744"/>
    </row>
    <row r="8123" spans="23:23" ht="24" customHeight="1">
      <c r="W8123" s="744"/>
    </row>
    <row r="8124" spans="23:23" ht="24" customHeight="1">
      <c r="W8124" s="744"/>
    </row>
    <row r="8125" spans="23:23" ht="24" customHeight="1">
      <c r="W8125" s="744"/>
    </row>
    <row r="8126" spans="23:23" ht="24" customHeight="1">
      <c r="W8126" s="744"/>
    </row>
    <row r="8127" spans="23:23" ht="24" customHeight="1">
      <c r="W8127" s="744"/>
    </row>
    <row r="8128" spans="23:23" ht="24" customHeight="1">
      <c r="W8128" s="744"/>
    </row>
    <row r="8129" spans="23:23" ht="24" customHeight="1">
      <c r="W8129" s="744"/>
    </row>
    <row r="8130" spans="23:23" ht="24" customHeight="1">
      <c r="W8130" s="744"/>
    </row>
    <row r="8131" spans="23:23" ht="24" customHeight="1">
      <c r="W8131" s="744"/>
    </row>
    <row r="8132" spans="23:23" ht="24" customHeight="1">
      <c r="W8132" s="744"/>
    </row>
    <row r="8133" spans="23:23" ht="24" customHeight="1">
      <c r="W8133" s="744"/>
    </row>
    <row r="8134" spans="23:23" ht="24" customHeight="1">
      <c r="W8134" s="744"/>
    </row>
    <row r="8135" spans="23:23" ht="24" customHeight="1">
      <c r="W8135" s="744"/>
    </row>
    <row r="8136" spans="23:23" ht="24" customHeight="1">
      <c r="W8136" s="744"/>
    </row>
    <row r="8137" spans="23:23" ht="24" customHeight="1">
      <c r="W8137" s="744"/>
    </row>
    <row r="8138" spans="23:23" ht="24" customHeight="1">
      <c r="W8138" s="744"/>
    </row>
    <row r="8139" spans="23:23" ht="24" customHeight="1">
      <c r="W8139" s="744"/>
    </row>
    <row r="8140" spans="23:23" ht="24" customHeight="1">
      <c r="W8140" s="744"/>
    </row>
    <row r="8141" spans="23:23" ht="24" customHeight="1">
      <c r="W8141" s="744"/>
    </row>
    <row r="8142" spans="23:23" ht="24" customHeight="1">
      <c r="W8142" s="744"/>
    </row>
    <row r="8143" spans="23:23" ht="24" customHeight="1">
      <c r="W8143" s="744"/>
    </row>
    <row r="8144" spans="23:23" ht="24" customHeight="1">
      <c r="W8144" s="744"/>
    </row>
    <row r="8145" spans="23:23" ht="24" customHeight="1">
      <c r="W8145" s="744"/>
    </row>
    <row r="8146" spans="23:23" ht="24" customHeight="1">
      <c r="W8146" s="744"/>
    </row>
    <row r="8147" spans="23:23" ht="24" customHeight="1">
      <c r="W8147" s="744"/>
    </row>
    <row r="8148" spans="23:23" ht="24" customHeight="1">
      <c r="W8148" s="744"/>
    </row>
    <row r="8149" spans="23:23" ht="24" customHeight="1">
      <c r="W8149" s="744"/>
    </row>
    <row r="8150" spans="23:23" ht="24" customHeight="1">
      <c r="W8150" s="744"/>
    </row>
    <row r="8151" spans="23:23" ht="24" customHeight="1">
      <c r="W8151" s="744"/>
    </row>
    <row r="8152" spans="23:23" ht="24" customHeight="1">
      <c r="W8152" s="744"/>
    </row>
    <row r="8153" spans="23:23" ht="24" customHeight="1">
      <c r="W8153" s="744"/>
    </row>
    <row r="8154" spans="23:23" ht="24" customHeight="1">
      <c r="W8154" s="744"/>
    </row>
    <row r="8155" spans="23:23" ht="24" customHeight="1">
      <c r="W8155" s="744"/>
    </row>
    <row r="8156" spans="23:23" ht="24" customHeight="1">
      <c r="W8156" s="744"/>
    </row>
    <row r="8157" spans="23:23" ht="24" customHeight="1">
      <c r="W8157" s="744"/>
    </row>
    <row r="8158" spans="23:23" ht="24" customHeight="1">
      <c r="W8158" s="744"/>
    </row>
    <row r="8159" spans="23:23" ht="24" customHeight="1">
      <c r="W8159" s="744"/>
    </row>
    <row r="8160" spans="23:23" ht="24" customHeight="1">
      <c r="W8160" s="744"/>
    </row>
    <row r="8161" spans="23:23" ht="24" customHeight="1">
      <c r="W8161" s="744"/>
    </row>
    <row r="8162" spans="23:23" ht="24" customHeight="1">
      <c r="W8162" s="744"/>
    </row>
    <row r="8163" spans="23:23" ht="24" customHeight="1">
      <c r="W8163" s="744"/>
    </row>
    <row r="8164" spans="23:23" ht="24" customHeight="1">
      <c r="W8164" s="744"/>
    </row>
    <row r="8165" spans="23:23" ht="24" customHeight="1">
      <c r="W8165" s="744"/>
    </row>
    <row r="8166" spans="23:23" ht="24" customHeight="1">
      <c r="W8166" s="744"/>
    </row>
    <row r="8167" spans="23:23" ht="24" customHeight="1">
      <c r="W8167" s="744"/>
    </row>
    <row r="8168" spans="23:23" ht="24" customHeight="1">
      <c r="W8168" s="744"/>
    </row>
    <row r="8169" spans="23:23" ht="24" customHeight="1">
      <c r="W8169" s="744"/>
    </row>
    <row r="8170" spans="23:23" ht="24" customHeight="1">
      <c r="W8170" s="744"/>
    </row>
    <row r="8171" spans="23:23" ht="24" customHeight="1">
      <c r="W8171" s="744"/>
    </row>
    <row r="8172" spans="23:23" ht="24" customHeight="1">
      <c r="W8172" s="744"/>
    </row>
    <row r="8173" spans="23:23" ht="24" customHeight="1">
      <c r="W8173" s="744"/>
    </row>
    <row r="8174" spans="23:23" ht="24" customHeight="1">
      <c r="W8174" s="744"/>
    </row>
    <row r="8175" spans="23:23" ht="24" customHeight="1">
      <c r="W8175" s="744"/>
    </row>
    <row r="8176" spans="23:23" ht="24" customHeight="1">
      <c r="W8176" s="744"/>
    </row>
    <row r="8177" spans="23:23" ht="24" customHeight="1">
      <c r="W8177" s="744"/>
    </row>
    <row r="8178" spans="23:23" ht="24" customHeight="1">
      <c r="W8178" s="744"/>
    </row>
    <row r="8179" spans="23:23" ht="24" customHeight="1">
      <c r="W8179" s="744"/>
    </row>
    <row r="8180" spans="23:23" ht="24" customHeight="1">
      <c r="W8180" s="744"/>
    </row>
    <row r="8181" spans="23:23" ht="24" customHeight="1">
      <c r="W8181" s="744"/>
    </row>
    <row r="8182" spans="23:23" ht="24" customHeight="1">
      <c r="W8182" s="744"/>
    </row>
    <row r="8183" spans="23:23" ht="24" customHeight="1">
      <c r="W8183" s="744"/>
    </row>
    <row r="8184" spans="23:23" ht="24" customHeight="1">
      <c r="W8184" s="744"/>
    </row>
    <row r="8185" spans="23:23" ht="24" customHeight="1">
      <c r="W8185" s="744"/>
    </row>
    <row r="8186" spans="23:23" ht="24" customHeight="1">
      <c r="W8186" s="744"/>
    </row>
    <row r="8187" spans="23:23" ht="24" customHeight="1">
      <c r="W8187" s="744"/>
    </row>
    <row r="8188" spans="23:23" ht="24" customHeight="1">
      <c r="W8188" s="744"/>
    </row>
    <row r="8189" spans="23:23" ht="24" customHeight="1">
      <c r="W8189" s="744"/>
    </row>
    <row r="8190" spans="23:23" ht="24" customHeight="1">
      <c r="W8190" s="744"/>
    </row>
    <row r="8191" spans="23:23" ht="24" customHeight="1">
      <c r="W8191" s="744"/>
    </row>
    <row r="8192" spans="23:23" ht="24" customHeight="1">
      <c r="W8192" s="744"/>
    </row>
    <row r="8193" spans="23:23" ht="24" customHeight="1">
      <c r="W8193" s="744"/>
    </row>
    <row r="8194" spans="23:23" ht="24" customHeight="1">
      <c r="W8194" s="744"/>
    </row>
    <row r="8195" spans="23:23" ht="24" customHeight="1">
      <c r="W8195" s="744"/>
    </row>
    <row r="8196" spans="23:23" ht="24" customHeight="1">
      <c r="W8196" s="744"/>
    </row>
    <row r="8197" spans="23:23" ht="24" customHeight="1">
      <c r="W8197" s="744"/>
    </row>
    <row r="8198" spans="23:23" ht="24" customHeight="1">
      <c r="W8198" s="744"/>
    </row>
    <row r="8199" spans="23:23" ht="24" customHeight="1">
      <c r="W8199" s="744"/>
    </row>
    <row r="8200" spans="23:23" ht="24" customHeight="1">
      <c r="W8200" s="744"/>
    </row>
    <row r="8201" spans="23:23" ht="24" customHeight="1">
      <c r="W8201" s="744"/>
    </row>
    <row r="8202" spans="23:23" ht="24" customHeight="1">
      <c r="W8202" s="744"/>
    </row>
    <row r="8203" spans="23:23" ht="24" customHeight="1">
      <c r="W8203" s="744"/>
    </row>
    <row r="8204" spans="23:23" ht="24" customHeight="1">
      <c r="W8204" s="744"/>
    </row>
    <row r="8205" spans="23:23" ht="24" customHeight="1">
      <c r="W8205" s="744"/>
    </row>
    <row r="8206" spans="23:23" ht="24" customHeight="1">
      <c r="W8206" s="744"/>
    </row>
    <row r="8207" spans="23:23" ht="24" customHeight="1">
      <c r="W8207" s="744"/>
    </row>
    <row r="8208" spans="23:23" ht="24" customHeight="1">
      <c r="W8208" s="744"/>
    </row>
    <row r="8209" spans="23:23" ht="24" customHeight="1">
      <c r="W8209" s="744"/>
    </row>
    <row r="8210" spans="23:23" ht="24" customHeight="1">
      <c r="W8210" s="744"/>
    </row>
    <row r="8211" spans="23:23" ht="24" customHeight="1">
      <c r="W8211" s="744"/>
    </row>
    <row r="8212" spans="23:23" ht="24" customHeight="1">
      <c r="W8212" s="744"/>
    </row>
    <row r="8213" spans="23:23" ht="24" customHeight="1">
      <c r="W8213" s="744"/>
    </row>
    <row r="8214" spans="23:23" ht="24" customHeight="1">
      <c r="W8214" s="744"/>
    </row>
    <row r="8215" spans="23:23" ht="24" customHeight="1">
      <c r="W8215" s="744"/>
    </row>
    <row r="8216" spans="23:23" ht="24" customHeight="1">
      <c r="W8216" s="744"/>
    </row>
    <row r="8217" spans="23:23" ht="24" customHeight="1">
      <c r="W8217" s="744"/>
    </row>
    <row r="8218" spans="23:23" ht="24" customHeight="1">
      <c r="W8218" s="744"/>
    </row>
    <row r="8219" spans="23:23" ht="24" customHeight="1">
      <c r="W8219" s="744"/>
    </row>
    <row r="8220" spans="23:23" ht="24" customHeight="1">
      <c r="W8220" s="744"/>
    </row>
    <row r="8221" spans="23:23" ht="24" customHeight="1">
      <c r="W8221" s="744"/>
    </row>
    <row r="8222" spans="23:23" ht="24" customHeight="1">
      <c r="W8222" s="744"/>
    </row>
    <row r="8223" spans="23:23" ht="24" customHeight="1">
      <c r="W8223" s="744"/>
    </row>
    <row r="8224" spans="23:23" ht="24" customHeight="1">
      <c r="W8224" s="744"/>
    </row>
    <row r="8225" spans="23:23" ht="24" customHeight="1">
      <c r="W8225" s="744"/>
    </row>
    <row r="8226" spans="23:23" ht="24" customHeight="1">
      <c r="W8226" s="744"/>
    </row>
    <row r="8227" spans="23:23" ht="24" customHeight="1">
      <c r="W8227" s="744"/>
    </row>
    <row r="8228" spans="23:23" ht="24" customHeight="1">
      <c r="W8228" s="744"/>
    </row>
    <row r="8229" spans="23:23" ht="24" customHeight="1">
      <c r="W8229" s="744"/>
    </row>
    <row r="8230" spans="23:23" ht="24" customHeight="1">
      <c r="W8230" s="744"/>
    </row>
    <row r="8231" spans="23:23" ht="24" customHeight="1">
      <c r="W8231" s="744"/>
    </row>
    <row r="8232" spans="23:23" ht="24" customHeight="1">
      <c r="W8232" s="744"/>
    </row>
    <row r="8233" spans="23:23" ht="24" customHeight="1">
      <c r="W8233" s="744"/>
    </row>
    <row r="8234" spans="23:23" ht="24" customHeight="1">
      <c r="W8234" s="744"/>
    </row>
    <row r="8235" spans="23:23" ht="24" customHeight="1">
      <c r="W8235" s="744"/>
    </row>
    <row r="8236" spans="23:23" ht="24" customHeight="1">
      <c r="W8236" s="744"/>
    </row>
    <row r="8237" spans="23:23" ht="24" customHeight="1">
      <c r="W8237" s="744"/>
    </row>
    <row r="8238" spans="23:23" ht="24" customHeight="1">
      <c r="W8238" s="744"/>
    </row>
    <row r="8239" spans="23:23" ht="24" customHeight="1">
      <c r="W8239" s="744"/>
    </row>
    <row r="8240" spans="23:23" ht="24" customHeight="1">
      <c r="W8240" s="744"/>
    </row>
    <row r="8241" spans="23:23" ht="24" customHeight="1">
      <c r="W8241" s="744"/>
    </row>
    <row r="8242" spans="23:23" ht="24" customHeight="1">
      <c r="W8242" s="744"/>
    </row>
    <row r="8243" spans="23:23" ht="24" customHeight="1">
      <c r="W8243" s="744"/>
    </row>
    <row r="8244" spans="23:23" ht="24" customHeight="1">
      <c r="W8244" s="744"/>
    </row>
    <row r="8245" spans="23:23" ht="24" customHeight="1">
      <c r="W8245" s="744"/>
    </row>
    <row r="8246" spans="23:23" ht="24" customHeight="1">
      <c r="W8246" s="744"/>
    </row>
    <row r="8247" spans="23:23" ht="24" customHeight="1">
      <c r="W8247" s="744"/>
    </row>
    <row r="8248" spans="23:23" ht="24" customHeight="1">
      <c r="W8248" s="744"/>
    </row>
    <row r="8249" spans="23:23" ht="24" customHeight="1">
      <c r="W8249" s="744"/>
    </row>
    <row r="8250" spans="23:23" ht="24" customHeight="1">
      <c r="W8250" s="744"/>
    </row>
    <row r="8251" spans="23:23" ht="24" customHeight="1">
      <c r="W8251" s="744"/>
    </row>
    <row r="8252" spans="23:23" ht="24" customHeight="1">
      <c r="W8252" s="744"/>
    </row>
    <row r="8253" spans="23:23" ht="24" customHeight="1">
      <c r="W8253" s="744"/>
    </row>
    <row r="8254" spans="23:23" ht="24" customHeight="1">
      <c r="W8254" s="744"/>
    </row>
    <row r="8255" spans="23:23" ht="24" customHeight="1">
      <c r="W8255" s="744"/>
    </row>
    <row r="8256" spans="23:23" ht="24" customHeight="1">
      <c r="W8256" s="744"/>
    </row>
    <row r="8257" spans="23:23" ht="24" customHeight="1">
      <c r="W8257" s="744"/>
    </row>
    <row r="8258" spans="23:23" ht="24" customHeight="1">
      <c r="W8258" s="744"/>
    </row>
    <row r="8259" spans="23:23" ht="24" customHeight="1">
      <c r="W8259" s="744"/>
    </row>
    <row r="8260" spans="23:23" ht="24" customHeight="1">
      <c r="W8260" s="744"/>
    </row>
    <row r="8261" spans="23:23" ht="24" customHeight="1">
      <c r="W8261" s="744"/>
    </row>
    <row r="8262" spans="23:23" ht="24" customHeight="1">
      <c r="W8262" s="744"/>
    </row>
    <row r="8263" spans="23:23" ht="24" customHeight="1">
      <c r="W8263" s="744"/>
    </row>
    <row r="8264" spans="23:23" ht="24" customHeight="1">
      <c r="W8264" s="744"/>
    </row>
    <row r="8265" spans="23:23" ht="24" customHeight="1">
      <c r="W8265" s="744"/>
    </row>
    <row r="8266" spans="23:23" ht="24" customHeight="1">
      <c r="W8266" s="744"/>
    </row>
    <row r="8267" spans="23:23" ht="24" customHeight="1">
      <c r="W8267" s="744"/>
    </row>
    <row r="8268" spans="23:23" ht="24" customHeight="1">
      <c r="W8268" s="744"/>
    </row>
    <row r="8269" spans="23:23" ht="24" customHeight="1">
      <c r="W8269" s="744"/>
    </row>
    <row r="8270" spans="23:23" ht="24" customHeight="1">
      <c r="W8270" s="744"/>
    </row>
    <row r="8271" spans="23:23" ht="24" customHeight="1">
      <c r="W8271" s="744"/>
    </row>
    <row r="8272" spans="23:23" ht="24" customHeight="1">
      <c r="W8272" s="744"/>
    </row>
    <row r="8273" spans="23:23" ht="24" customHeight="1">
      <c r="W8273" s="744"/>
    </row>
    <row r="8274" spans="23:23" ht="24" customHeight="1">
      <c r="W8274" s="744"/>
    </row>
    <row r="8275" spans="23:23" ht="24" customHeight="1">
      <c r="W8275" s="744"/>
    </row>
    <row r="8276" spans="23:23" ht="24" customHeight="1">
      <c r="W8276" s="744"/>
    </row>
    <row r="8277" spans="23:23" ht="24" customHeight="1">
      <c r="W8277" s="744"/>
    </row>
    <row r="8278" spans="23:23" ht="24" customHeight="1">
      <c r="W8278" s="744"/>
    </row>
    <row r="8279" spans="23:23" ht="24" customHeight="1">
      <c r="W8279" s="744"/>
    </row>
    <row r="8280" spans="23:23" ht="24" customHeight="1">
      <c r="W8280" s="744"/>
    </row>
    <row r="8281" spans="23:23" ht="24" customHeight="1">
      <c r="W8281" s="744"/>
    </row>
    <row r="8282" spans="23:23" ht="24" customHeight="1">
      <c r="W8282" s="744"/>
    </row>
    <row r="8283" spans="23:23" ht="24" customHeight="1">
      <c r="W8283" s="744"/>
    </row>
    <row r="8284" spans="23:23" ht="24" customHeight="1">
      <c r="W8284" s="744"/>
    </row>
    <row r="8285" spans="23:23" ht="24" customHeight="1">
      <c r="W8285" s="744"/>
    </row>
    <row r="8286" spans="23:23" ht="24" customHeight="1">
      <c r="W8286" s="744"/>
    </row>
    <row r="8287" spans="23:23" ht="24" customHeight="1">
      <c r="W8287" s="744"/>
    </row>
    <row r="8288" spans="23:23" ht="24" customHeight="1">
      <c r="W8288" s="744"/>
    </row>
    <row r="8289" spans="23:23" ht="24" customHeight="1">
      <c r="W8289" s="744"/>
    </row>
    <row r="8290" spans="23:23" ht="24" customHeight="1">
      <c r="W8290" s="744"/>
    </row>
    <row r="8291" spans="23:23" ht="24" customHeight="1">
      <c r="W8291" s="744"/>
    </row>
    <row r="8292" spans="23:23" ht="24" customHeight="1">
      <c r="W8292" s="744"/>
    </row>
    <row r="8293" spans="23:23" ht="24" customHeight="1">
      <c r="W8293" s="744"/>
    </row>
    <row r="8294" spans="23:23" ht="24" customHeight="1">
      <c r="W8294" s="744"/>
    </row>
    <row r="8295" spans="23:23" ht="24" customHeight="1">
      <c r="W8295" s="744"/>
    </row>
    <row r="8296" spans="23:23" ht="24" customHeight="1">
      <c r="W8296" s="744"/>
    </row>
    <row r="8297" spans="23:23" ht="24" customHeight="1">
      <c r="W8297" s="744"/>
    </row>
    <row r="8298" spans="23:23" ht="24" customHeight="1">
      <c r="W8298" s="744"/>
    </row>
    <row r="8299" spans="23:23" ht="24" customHeight="1">
      <c r="W8299" s="744"/>
    </row>
    <row r="8300" spans="23:23" ht="24" customHeight="1">
      <c r="W8300" s="744"/>
    </row>
    <row r="8301" spans="23:23" ht="24" customHeight="1">
      <c r="W8301" s="744"/>
    </row>
    <row r="8302" spans="23:23" ht="24" customHeight="1">
      <c r="W8302" s="744"/>
    </row>
    <row r="8303" spans="23:23" ht="24" customHeight="1">
      <c r="W8303" s="744"/>
    </row>
    <row r="8304" spans="23:23" ht="24" customHeight="1">
      <c r="W8304" s="744"/>
    </row>
    <row r="8305" spans="23:23" ht="24" customHeight="1">
      <c r="W8305" s="744"/>
    </row>
    <row r="8306" spans="23:23" ht="24" customHeight="1">
      <c r="W8306" s="744"/>
    </row>
    <row r="8307" spans="23:23" ht="24" customHeight="1">
      <c r="W8307" s="744"/>
    </row>
    <row r="8308" spans="23:23" ht="24" customHeight="1">
      <c r="W8308" s="744"/>
    </row>
    <row r="8309" spans="23:23" ht="24" customHeight="1">
      <c r="W8309" s="744"/>
    </row>
    <row r="8310" spans="23:23" ht="24" customHeight="1">
      <c r="W8310" s="744"/>
    </row>
    <row r="8311" spans="23:23" ht="24" customHeight="1">
      <c r="W8311" s="744"/>
    </row>
    <row r="8312" spans="23:23" ht="24" customHeight="1">
      <c r="W8312" s="744"/>
    </row>
    <row r="8313" spans="23:23" ht="24" customHeight="1">
      <c r="W8313" s="744"/>
    </row>
    <row r="8314" spans="23:23" ht="24" customHeight="1">
      <c r="W8314" s="744"/>
    </row>
    <row r="8315" spans="23:23" ht="24" customHeight="1">
      <c r="W8315" s="744"/>
    </row>
    <row r="8316" spans="23:23" ht="24" customHeight="1">
      <c r="W8316" s="744"/>
    </row>
    <row r="8317" spans="23:23" ht="24" customHeight="1">
      <c r="W8317" s="744"/>
    </row>
    <row r="8318" spans="23:23" ht="24" customHeight="1">
      <c r="W8318" s="744"/>
    </row>
    <row r="8319" spans="23:23" ht="24" customHeight="1">
      <c r="W8319" s="744"/>
    </row>
    <row r="8320" spans="23:23" ht="24" customHeight="1">
      <c r="W8320" s="744"/>
    </row>
    <row r="8321" spans="23:23" ht="24" customHeight="1">
      <c r="W8321" s="744"/>
    </row>
    <row r="8322" spans="23:23" ht="24" customHeight="1">
      <c r="W8322" s="744"/>
    </row>
    <row r="8323" spans="23:23" ht="24" customHeight="1">
      <c r="W8323" s="744"/>
    </row>
    <row r="8324" spans="23:23" ht="24" customHeight="1">
      <c r="W8324" s="744"/>
    </row>
    <row r="8325" spans="23:23" ht="24" customHeight="1">
      <c r="W8325" s="744"/>
    </row>
    <row r="8326" spans="23:23" ht="24" customHeight="1">
      <c r="W8326" s="744"/>
    </row>
    <row r="8327" spans="23:23" ht="24" customHeight="1">
      <c r="W8327" s="744"/>
    </row>
    <row r="8328" spans="23:23" ht="24" customHeight="1">
      <c r="W8328" s="744"/>
    </row>
    <row r="8329" spans="23:23" ht="24" customHeight="1">
      <c r="W8329" s="744"/>
    </row>
    <row r="8330" spans="23:23" ht="24" customHeight="1">
      <c r="W8330" s="744"/>
    </row>
    <row r="8331" spans="23:23" ht="24" customHeight="1">
      <c r="W8331" s="744"/>
    </row>
    <row r="8332" spans="23:23" ht="24" customHeight="1">
      <c r="W8332" s="744"/>
    </row>
    <row r="8333" spans="23:23" ht="24" customHeight="1">
      <c r="W8333" s="744"/>
    </row>
    <row r="8334" spans="23:23" ht="24" customHeight="1">
      <c r="W8334" s="744"/>
    </row>
    <row r="8335" spans="23:23" ht="24" customHeight="1">
      <c r="W8335" s="744"/>
    </row>
    <row r="8336" spans="23:23" ht="24" customHeight="1">
      <c r="W8336" s="744"/>
    </row>
    <row r="8337" spans="23:23" ht="24" customHeight="1">
      <c r="W8337" s="744"/>
    </row>
    <row r="8338" spans="23:23" ht="24" customHeight="1">
      <c r="W8338" s="744"/>
    </row>
    <row r="8339" spans="23:23" ht="24" customHeight="1">
      <c r="W8339" s="744"/>
    </row>
    <row r="8340" spans="23:23" ht="24" customHeight="1">
      <c r="W8340" s="744"/>
    </row>
    <row r="8341" spans="23:23" ht="24" customHeight="1">
      <c r="W8341" s="744"/>
    </row>
    <row r="8342" spans="23:23" ht="24" customHeight="1">
      <c r="W8342" s="744"/>
    </row>
    <row r="8343" spans="23:23" ht="24" customHeight="1">
      <c r="W8343" s="744"/>
    </row>
    <row r="8344" spans="23:23" ht="24" customHeight="1">
      <c r="W8344" s="744"/>
    </row>
    <row r="8345" spans="23:23" ht="24" customHeight="1">
      <c r="W8345" s="744"/>
    </row>
    <row r="8346" spans="23:23" ht="24" customHeight="1">
      <c r="W8346" s="744"/>
    </row>
    <row r="8347" spans="23:23" ht="24" customHeight="1">
      <c r="W8347" s="744"/>
    </row>
    <row r="8348" spans="23:23" ht="24" customHeight="1">
      <c r="W8348" s="744"/>
    </row>
    <row r="8349" spans="23:23" ht="24" customHeight="1">
      <c r="W8349" s="744"/>
    </row>
    <row r="8350" spans="23:23" ht="24" customHeight="1">
      <c r="W8350" s="744"/>
    </row>
    <row r="8351" spans="23:23" ht="24" customHeight="1">
      <c r="W8351" s="744"/>
    </row>
    <row r="8352" spans="23:23" ht="24" customHeight="1">
      <c r="W8352" s="744"/>
    </row>
    <row r="8353" spans="23:23" ht="24" customHeight="1">
      <c r="W8353" s="744"/>
    </row>
    <row r="8354" spans="23:23" ht="24" customHeight="1">
      <c r="W8354" s="744"/>
    </row>
    <row r="8355" spans="23:23" ht="24" customHeight="1">
      <c r="W8355" s="744"/>
    </row>
    <row r="8356" spans="23:23" ht="24" customHeight="1">
      <c r="W8356" s="744"/>
    </row>
    <row r="8357" spans="23:23" ht="24" customHeight="1">
      <c r="W8357" s="744"/>
    </row>
    <row r="8358" spans="23:23" ht="24" customHeight="1">
      <c r="W8358" s="744"/>
    </row>
    <row r="8359" spans="23:23" ht="24" customHeight="1">
      <c r="W8359" s="744"/>
    </row>
    <row r="8360" spans="23:23" ht="24" customHeight="1">
      <c r="W8360" s="744"/>
    </row>
    <row r="8361" spans="23:23" ht="24" customHeight="1">
      <c r="W8361" s="744"/>
    </row>
    <row r="8362" spans="23:23" ht="24" customHeight="1">
      <c r="W8362" s="744"/>
    </row>
    <row r="8363" spans="23:23" ht="24" customHeight="1">
      <c r="W8363" s="744"/>
    </row>
    <row r="8364" spans="23:23" ht="24" customHeight="1">
      <c r="W8364" s="744"/>
    </row>
    <row r="8365" spans="23:23" ht="24" customHeight="1">
      <c r="W8365" s="744"/>
    </row>
    <row r="8366" spans="23:23" ht="24" customHeight="1">
      <c r="W8366" s="744"/>
    </row>
    <row r="8367" spans="23:23" ht="24" customHeight="1">
      <c r="W8367" s="744"/>
    </row>
    <row r="8368" spans="23:23" ht="24" customHeight="1">
      <c r="W8368" s="744"/>
    </row>
    <row r="8369" spans="23:23" ht="24" customHeight="1">
      <c r="W8369" s="744"/>
    </row>
    <row r="8370" spans="23:23" ht="24" customHeight="1">
      <c r="W8370" s="744"/>
    </row>
    <row r="8371" spans="23:23" ht="24" customHeight="1">
      <c r="W8371" s="744"/>
    </row>
    <row r="8372" spans="23:23" ht="24" customHeight="1">
      <c r="W8372" s="744"/>
    </row>
    <row r="8373" spans="23:23" ht="24" customHeight="1">
      <c r="W8373" s="744"/>
    </row>
    <row r="8374" spans="23:23" ht="24" customHeight="1">
      <c r="W8374" s="744"/>
    </row>
    <row r="8375" spans="23:23" ht="24" customHeight="1">
      <c r="W8375" s="744"/>
    </row>
    <row r="8376" spans="23:23" ht="24" customHeight="1">
      <c r="W8376" s="744"/>
    </row>
    <row r="8377" spans="23:23" ht="24" customHeight="1">
      <c r="W8377" s="744"/>
    </row>
    <row r="8378" spans="23:23" ht="24" customHeight="1">
      <c r="W8378" s="744"/>
    </row>
    <row r="8379" spans="23:23" ht="24" customHeight="1">
      <c r="W8379" s="744"/>
    </row>
    <row r="8380" spans="23:23" ht="24" customHeight="1">
      <c r="W8380" s="744"/>
    </row>
    <row r="8381" spans="23:23" ht="24" customHeight="1">
      <c r="W8381" s="744"/>
    </row>
    <row r="8382" spans="23:23" ht="24" customHeight="1">
      <c r="W8382" s="744"/>
    </row>
    <row r="8383" spans="23:23" ht="24" customHeight="1">
      <c r="W8383" s="744"/>
    </row>
    <row r="8384" spans="23:23" ht="24" customHeight="1">
      <c r="W8384" s="744"/>
    </row>
    <row r="8385" spans="23:23" ht="24" customHeight="1">
      <c r="W8385" s="744"/>
    </row>
    <row r="8386" spans="23:23" ht="24" customHeight="1">
      <c r="W8386" s="744"/>
    </row>
    <row r="8387" spans="23:23" ht="24" customHeight="1">
      <c r="W8387" s="744"/>
    </row>
    <row r="8388" spans="23:23" ht="24" customHeight="1">
      <c r="W8388" s="744"/>
    </row>
    <row r="8389" spans="23:23" ht="24" customHeight="1">
      <c r="W8389" s="744"/>
    </row>
    <row r="8390" spans="23:23" ht="24" customHeight="1">
      <c r="W8390" s="744"/>
    </row>
    <row r="8391" spans="23:23" ht="24" customHeight="1">
      <c r="W8391" s="744"/>
    </row>
    <row r="8392" spans="23:23" ht="24" customHeight="1">
      <c r="W8392" s="744"/>
    </row>
    <row r="8393" spans="23:23" ht="24" customHeight="1">
      <c r="W8393" s="744"/>
    </row>
    <row r="8394" spans="23:23" ht="24" customHeight="1">
      <c r="W8394" s="744"/>
    </row>
    <row r="8395" spans="23:23" ht="24" customHeight="1">
      <c r="W8395" s="744"/>
    </row>
    <row r="8396" spans="23:23" ht="24" customHeight="1">
      <c r="W8396" s="744"/>
    </row>
    <row r="8397" spans="23:23" ht="24" customHeight="1">
      <c r="W8397" s="744"/>
    </row>
    <row r="8398" spans="23:23" ht="24" customHeight="1">
      <c r="W8398" s="744"/>
    </row>
    <row r="8399" spans="23:23" ht="24" customHeight="1">
      <c r="W8399" s="744"/>
    </row>
    <row r="8400" spans="23:23" ht="24" customHeight="1">
      <c r="W8400" s="744"/>
    </row>
    <row r="8401" spans="23:23" ht="24" customHeight="1">
      <c r="W8401" s="744"/>
    </row>
    <row r="8402" spans="23:23" ht="24" customHeight="1">
      <c r="W8402" s="744"/>
    </row>
    <row r="8403" spans="23:23" ht="24" customHeight="1">
      <c r="W8403" s="744"/>
    </row>
    <row r="8404" spans="23:23" ht="24" customHeight="1">
      <c r="W8404" s="744"/>
    </row>
    <row r="8405" spans="23:23" ht="24" customHeight="1">
      <c r="W8405" s="744"/>
    </row>
    <row r="8406" spans="23:23" ht="24" customHeight="1">
      <c r="W8406" s="744"/>
    </row>
    <row r="8407" spans="23:23" ht="24" customHeight="1">
      <c r="W8407" s="744"/>
    </row>
    <row r="8408" spans="23:23" ht="24" customHeight="1">
      <c r="W8408" s="744"/>
    </row>
    <row r="8409" spans="23:23" ht="24" customHeight="1">
      <c r="W8409" s="744"/>
    </row>
    <row r="8410" spans="23:23" ht="24" customHeight="1">
      <c r="W8410" s="744"/>
    </row>
    <row r="8411" spans="23:23" ht="24" customHeight="1">
      <c r="W8411" s="744"/>
    </row>
    <row r="8412" spans="23:23" ht="24" customHeight="1">
      <c r="W8412" s="744"/>
    </row>
    <row r="8413" spans="23:23" ht="24" customHeight="1">
      <c r="W8413" s="744"/>
    </row>
    <row r="8414" spans="23:23" ht="24" customHeight="1">
      <c r="W8414" s="744"/>
    </row>
    <row r="8415" spans="23:23" ht="24" customHeight="1">
      <c r="W8415" s="744"/>
    </row>
    <row r="8416" spans="23:23" ht="24" customHeight="1">
      <c r="W8416" s="744"/>
    </row>
    <row r="8417" spans="23:23" ht="24" customHeight="1">
      <c r="W8417" s="744"/>
    </row>
    <row r="8418" spans="23:23" ht="24" customHeight="1">
      <c r="W8418" s="744"/>
    </row>
    <row r="8419" spans="23:23" ht="24" customHeight="1">
      <c r="W8419" s="744"/>
    </row>
    <row r="8420" spans="23:23" ht="24" customHeight="1">
      <c r="W8420" s="744"/>
    </row>
    <row r="8421" spans="23:23" ht="24" customHeight="1">
      <c r="W8421" s="744"/>
    </row>
    <row r="8422" spans="23:23" ht="24" customHeight="1">
      <c r="W8422" s="744"/>
    </row>
    <row r="8423" spans="23:23" ht="24" customHeight="1">
      <c r="W8423" s="744"/>
    </row>
    <row r="8424" spans="23:23" ht="24" customHeight="1">
      <c r="W8424" s="744"/>
    </row>
    <row r="8425" spans="23:23" ht="24" customHeight="1">
      <c r="W8425" s="744"/>
    </row>
    <row r="8426" spans="23:23" ht="24" customHeight="1">
      <c r="W8426" s="744"/>
    </row>
    <row r="8427" spans="23:23" ht="24" customHeight="1">
      <c r="W8427" s="744"/>
    </row>
    <row r="8428" spans="23:23" ht="24" customHeight="1">
      <c r="W8428" s="744"/>
    </row>
    <row r="8429" spans="23:23" ht="24" customHeight="1">
      <c r="W8429" s="744"/>
    </row>
    <row r="8430" spans="23:23" ht="24" customHeight="1">
      <c r="W8430" s="744"/>
    </row>
    <row r="8431" spans="23:23" ht="24" customHeight="1">
      <c r="W8431" s="744"/>
    </row>
    <row r="8432" spans="23:23" ht="24" customHeight="1">
      <c r="W8432" s="744"/>
    </row>
    <row r="8433" spans="23:23" ht="24" customHeight="1">
      <c r="W8433" s="744"/>
    </row>
    <row r="8434" spans="23:23" ht="24" customHeight="1">
      <c r="W8434" s="744"/>
    </row>
    <row r="8435" spans="23:23" ht="24" customHeight="1">
      <c r="W8435" s="744"/>
    </row>
    <row r="8436" spans="23:23" ht="24" customHeight="1">
      <c r="W8436" s="744"/>
    </row>
    <row r="8437" spans="23:23" ht="24" customHeight="1">
      <c r="W8437" s="744"/>
    </row>
    <row r="8438" spans="23:23" ht="24" customHeight="1">
      <c r="W8438" s="744"/>
    </row>
    <row r="8439" spans="23:23" ht="24" customHeight="1">
      <c r="W8439" s="744"/>
    </row>
    <row r="8440" spans="23:23" ht="24" customHeight="1">
      <c r="W8440" s="744"/>
    </row>
    <row r="8441" spans="23:23" ht="24" customHeight="1">
      <c r="W8441" s="744"/>
    </row>
    <row r="8442" spans="23:23" ht="24" customHeight="1">
      <c r="W8442" s="744"/>
    </row>
    <row r="8443" spans="23:23" ht="24" customHeight="1">
      <c r="W8443" s="744"/>
    </row>
    <row r="8444" spans="23:23" ht="24" customHeight="1">
      <c r="W8444" s="744"/>
    </row>
    <row r="8445" spans="23:23" ht="24" customHeight="1">
      <c r="W8445" s="744"/>
    </row>
    <row r="8446" spans="23:23" ht="24" customHeight="1">
      <c r="W8446" s="744"/>
    </row>
    <row r="8447" spans="23:23" ht="24" customHeight="1">
      <c r="W8447" s="744"/>
    </row>
    <row r="8448" spans="23:23" ht="24" customHeight="1">
      <c r="W8448" s="744"/>
    </row>
    <row r="8449" spans="23:23" ht="24" customHeight="1">
      <c r="W8449" s="744"/>
    </row>
    <row r="8450" spans="23:23" ht="24" customHeight="1">
      <c r="W8450" s="744"/>
    </row>
    <row r="8451" spans="23:23" ht="24" customHeight="1">
      <c r="W8451" s="744"/>
    </row>
    <row r="8452" spans="23:23" ht="24" customHeight="1">
      <c r="W8452" s="744"/>
    </row>
    <row r="8453" spans="23:23" ht="24" customHeight="1">
      <c r="W8453" s="744"/>
    </row>
    <row r="8454" spans="23:23" ht="24" customHeight="1">
      <c r="W8454" s="744"/>
    </row>
    <row r="8455" spans="23:23" ht="24" customHeight="1">
      <c r="W8455" s="744"/>
    </row>
    <row r="8456" spans="23:23" ht="24" customHeight="1">
      <c r="W8456" s="744"/>
    </row>
    <row r="8457" spans="23:23" ht="24" customHeight="1">
      <c r="W8457" s="744"/>
    </row>
    <row r="8458" spans="23:23" ht="24" customHeight="1">
      <c r="W8458" s="744"/>
    </row>
    <row r="8459" spans="23:23" ht="24" customHeight="1">
      <c r="W8459" s="744"/>
    </row>
    <row r="8460" spans="23:23" ht="24" customHeight="1">
      <c r="W8460" s="744"/>
    </row>
    <row r="8461" spans="23:23" ht="24" customHeight="1">
      <c r="W8461" s="744"/>
    </row>
    <row r="8462" spans="23:23" ht="24" customHeight="1">
      <c r="W8462" s="744"/>
    </row>
    <row r="8463" spans="23:23" ht="24" customHeight="1">
      <c r="W8463" s="744"/>
    </row>
    <row r="8464" spans="23:23" ht="24" customHeight="1">
      <c r="W8464" s="744"/>
    </row>
    <row r="8465" spans="23:23" ht="24" customHeight="1">
      <c r="W8465" s="744"/>
    </row>
    <row r="8466" spans="23:23" ht="24" customHeight="1">
      <c r="W8466" s="744"/>
    </row>
    <row r="8467" spans="23:23" ht="24" customHeight="1">
      <c r="W8467" s="744"/>
    </row>
    <row r="8468" spans="23:23" ht="24" customHeight="1">
      <c r="W8468" s="744"/>
    </row>
    <row r="8469" spans="23:23" ht="24" customHeight="1">
      <c r="W8469" s="744"/>
    </row>
    <row r="8470" spans="23:23" ht="24" customHeight="1">
      <c r="W8470" s="744"/>
    </row>
    <row r="8471" spans="23:23" ht="24" customHeight="1">
      <c r="W8471" s="744"/>
    </row>
    <row r="8472" spans="23:23" ht="24" customHeight="1">
      <c r="W8472" s="744"/>
    </row>
    <row r="8473" spans="23:23" ht="24" customHeight="1">
      <c r="W8473" s="744"/>
    </row>
    <row r="8474" spans="23:23" ht="24" customHeight="1">
      <c r="W8474" s="744"/>
    </row>
    <row r="8475" spans="23:23" ht="24" customHeight="1">
      <c r="W8475" s="744"/>
    </row>
    <row r="8476" spans="23:23" ht="24" customHeight="1">
      <c r="W8476" s="744"/>
    </row>
    <row r="8477" spans="23:23" ht="24" customHeight="1">
      <c r="W8477" s="744"/>
    </row>
    <row r="8478" spans="23:23" ht="24" customHeight="1">
      <c r="W8478" s="744"/>
    </row>
    <row r="8479" spans="23:23" ht="24" customHeight="1">
      <c r="W8479" s="744"/>
    </row>
    <row r="8480" spans="23:23" ht="24" customHeight="1">
      <c r="W8480" s="744"/>
    </row>
    <row r="8481" spans="23:23" ht="24" customHeight="1">
      <c r="W8481" s="744"/>
    </row>
    <row r="8482" spans="23:23" ht="24" customHeight="1">
      <c r="W8482" s="744"/>
    </row>
    <row r="8483" spans="23:23" ht="24" customHeight="1">
      <c r="W8483" s="744"/>
    </row>
    <row r="8484" spans="23:23" ht="24" customHeight="1">
      <c r="W8484" s="744"/>
    </row>
    <row r="8485" spans="23:23" ht="24" customHeight="1">
      <c r="W8485" s="744"/>
    </row>
    <row r="8486" spans="23:23" ht="24" customHeight="1">
      <c r="W8486" s="744"/>
    </row>
    <row r="8487" spans="23:23" ht="24" customHeight="1">
      <c r="W8487" s="744"/>
    </row>
    <row r="8488" spans="23:23" ht="24" customHeight="1">
      <c r="W8488" s="744"/>
    </row>
    <row r="8489" spans="23:23" ht="24" customHeight="1">
      <c r="W8489" s="744"/>
    </row>
    <row r="8490" spans="23:23" ht="24" customHeight="1">
      <c r="W8490" s="744"/>
    </row>
    <row r="8491" spans="23:23" ht="24" customHeight="1">
      <c r="W8491" s="744"/>
    </row>
    <row r="8492" spans="23:23" ht="24" customHeight="1">
      <c r="W8492" s="744"/>
    </row>
    <row r="8493" spans="23:23" ht="24" customHeight="1">
      <c r="W8493" s="744"/>
    </row>
    <row r="8494" spans="23:23" ht="24" customHeight="1">
      <c r="W8494" s="744"/>
    </row>
    <row r="8495" spans="23:23" ht="24" customHeight="1">
      <c r="W8495" s="744"/>
    </row>
    <row r="8496" spans="23:23" ht="24" customHeight="1">
      <c r="W8496" s="744"/>
    </row>
    <row r="8497" spans="23:23" ht="24" customHeight="1">
      <c r="W8497" s="744"/>
    </row>
    <row r="8498" spans="23:23" ht="24" customHeight="1">
      <c r="W8498" s="744"/>
    </row>
    <row r="8499" spans="23:23" ht="24" customHeight="1">
      <c r="W8499" s="744"/>
    </row>
    <row r="8500" spans="23:23" ht="24" customHeight="1">
      <c r="W8500" s="744"/>
    </row>
    <row r="8501" spans="23:23" ht="24" customHeight="1">
      <c r="W8501" s="744"/>
    </row>
    <row r="8502" spans="23:23" ht="24" customHeight="1">
      <c r="W8502" s="744"/>
    </row>
    <row r="8503" spans="23:23" ht="24" customHeight="1">
      <c r="W8503" s="744"/>
    </row>
    <row r="8504" spans="23:23" ht="24" customHeight="1">
      <c r="W8504" s="744"/>
    </row>
    <row r="8505" spans="23:23" ht="24" customHeight="1">
      <c r="W8505" s="744"/>
    </row>
    <row r="8506" spans="23:23" ht="24" customHeight="1">
      <c r="W8506" s="744"/>
    </row>
    <row r="8507" spans="23:23" ht="24" customHeight="1">
      <c r="W8507" s="744"/>
    </row>
    <row r="8508" spans="23:23" ht="24" customHeight="1">
      <c r="W8508" s="744"/>
    </row>
    <row r="8509" spans="23:23" ht="24" customHeight="1">
      <c r="W8509" s="744"/>
    </row>
    <row r="8510" spans="23:23" ht="24" customHeight="1">
      <c r="W8510" s="744"/>
    </row>
    <row r="8511" spans="23:23" ht="24" customHeight="1">
      <c r="W8511" s="744"/>
    </row>
    <row r="8512" spans="23:23" ht="24" customHeight="1">
      <c r="W8512" s="744"/>
    </row>
    <row r="8513" spans="23:23" ht="24" customHeight="1">
      <c r="W8513" s="744"/>
    </row>
    <row r="8514" spans="23:23" ht="24" customHeight="1">
      <c r="W8514" s="744"/>
    </row>
    <row r="8515" spans="23:23" ht="24" customHeight="1">
      <c r="W8515" s="744"/>
    </row>
    <row r="8516" spans="23:23" ht="24" customHeight="1">
      <c r="W8516" s="744"/>
    </row>
    <row r="8517" spans="23:23" ht="24" customHeight="1">
      <c r="W8517" s="744"/>
    </row>
    <row r="8518" spans="23:23" ht="24" customHeight="1">
      <c r="W8518" s="744"/>
    </row>
    <row r="8519" spans="23:23" ht="24" customHeight="1">
      <c r="W8519" s="744"/>
    </row>
    <row r="8520" spans="23:23" ht="24" customHeight="1">
      <c r="W8520" s="744"/>
    </row>
    <row r="8521" spans="23:23" ht="24" customHeight="1">
      <c r="W8521" s="744"/>
    </row>
    <row r="8522" spans="23:23" ht="24" customHeight="1">
      <c r="W8522" s="744"/>
    </row>
    <row r="8523" spans="23:23" ht="24" customHeight="1">
      <c r="W8523" s="744"/>
    </row>
    <row r="8524" spans="23:23" ht="24" customHeight="1">
      <c r="W8524" s="744"/>
    </row>
    <row r="8525" spans="23:23" ht="24" customHeight="1">
      <c r="W8525" s="744"/>
    </row>
    <row r="8526" spans="23:23" ht="24" customHeight="1">
      <c r="W8526" s="744"/>
    </row>
    <row r="8527" spans="23:23" ht="24" customHeight="1">
      <c r="W8527" s="744"/>
    </row>
    <row r="8528" spans="23:23" ht="24" customHeight="1">
      <c r="W8528" s="744"/>
    </row>
    <row r="8529" spans="23:23" ht="24" customHeight="1">
      <c r="W8529" s="744"/>
    </row>
    <row r="8530" spans="23:23" ht="24" customHeight="1">
      <c r="W8530" s="744"/>
    </row>
    <row r="8531" spans="23:23" ht="24" customHeight="1">
      <c r="W8531" s="744"/>
    </row>
    <row r="8532" spans="23:23" ht="24" customHeight="1">
      <c r="W8532" s="744"/>
    </row>
    <row r="8533" spans="23:23" ht="24" customHeight="1">
      <c r="W8533" s="744"/>
    </row>
    <row r="8534" spans="23:23" ht="24" customHeight="1">
      <c r="W8534" s="744"/>
    </row>
    <row r="8535" spans="23:23" ht="24" customHeight="1">
      <c r="W8535" s="744"/>
    </row>
    <row r="8536" spans="23:23" ht="24" customHeight="1">
      <c r="W8536" s="744"/>
    </row>
    <row r="8537" spans="23:23" ht="24" customHeight="1">
      <c r="W8537" s="744"/>
    </row>
    <row r="8538" spans="23:23" ht="24" customHeight="1">
      <c r="W8538" s="744"/>
    </row>
    <row r="8539" spans="23:23" ht="24" customHeight="1">
      <c r="W8539" s="744"/>
    </row>
    <row r="8540" spans="23:23" ht="24" customHeight="1">
      <c r="W8540" s="744"/>
    </row>
    <row r="8541" spans="23:23" ht="24" customHeight="1">
      <c r="W8541" s="744"/>
    </row>
    <row r="8542" spans="23:23" ht="24" customHeight="1">
      <c r="W8542" s="744"/>
    </row>
    <row r="8543" spans="23:23" ht="24" customHeight="1">
      <c r="W8543" s="744"/>
    </row>
    <row r="8544" spans="23:23" ht="24" customHeight="1">
      <c r="W8544" s="744"/>
    </row>
    <row r="8545" spans="23:23" ht="24" customHeight="1">
      <c r="W8545" s="744"/>
    </row>
    <row r="8546" spans="23:23" ht="24" customHeight="1">
      <c r="W8546" s="744"/>
    </row>
    <row r="8547" spans="23:23" ht="24" customHeight="1">
      <c r="W8547" s="744"/>
    </row>
    <row r="8548" spans="23:23" ht="24" customHeight="1">
      <c r="W8548" s="744"/>
    </row>
    <row r="8549" spans="23:23" ht="24" customHeight="1">
      <c r="W8549" s="744"/>
    </row>
    <row r="8550" spans="23:23" ht="24" customHeight="1">
      <c r="W8550" s="744"/>
    </row>
    <row r="8551" spans="23:23" ht="24" customHeight="1">
      <c r="W8551" s="744"/>
    </row>
    <row r="8552" spans="23:23" ht="24" customHeight="1">
      <c r="W8552" s="744"/>
    </row>
    <row r="8553" spans="23:23" ht="24" customHeight="1">
      <c r="W8553" s="744"/>
    </row>
    <row r="8554" spans="23:23" ht="24" customHeight="1">
      <c r="W8554" s="744"/>
    </row>
    <row r="8555" spans="23:23" ht="24" customHeight="1">
      <c r="W8555" s="744"/>
    </row>
    <row r="8556" spans="23:23" ht="24" customHeight="1">
      <c r="W8556" s="744"/>
    </row>
    <row r="8557" spans="23:23" ht="24" customHeight="1">
      <c r="W8557" s="744"/>
    </row>
    <row r="8558" spans="23:23" ht="24" customHeight="1">
      <c r="W8558" s="744"/>
    </row>
    <row r="8559" spans="23:23" ht="24" customHeight="1">
      <c r="W8559" s="744"/>
    </row>
  </sheetData>
  <mergeCells count="23">
    <mergeCell ref="AH551:AI551"/>
    <mergeCell ref="AD2602:AG2602"/>
    <mergeCell ref="I3047:J3047"/>
    <mergeCell ref="S3149:T3149"/>
    <mergeCell ref="I3493:J3493"/>
    <mergeCell ref="AA551:AB551"/>
    <mergeCell ref="U2:X2"/>
    <mergeCell ref="O2344:Q2344"/>
    <mergeCell ref="O2354:Q2354"/>
    <mergeCell ref="O2428:R2428"/>
    <mergeCell ref="O2430:O2431"/>
    <mergeCell ref="N1532:R1532"/>
    <mergeCell ref="H2423:H2424"/>
    <mergeCell ref="H2421:K2421"/>
    <mergeCell ref="P1475:R1475"/>
    <mergeCell ref="S1475:U1475"/>
    <mergeCell ref="AB3649:AG3650"/>
    <mergeCell ref="S3681:V3681"/>
    <mergeCell ref="F3712:K3712"/>
    <mergeCell ref="F3986:H3986"/>
    <mergeCell ref="O3712:P3712"/>
    <mergeCell ref="J4079:M4079"/>
    <mergeCell ref="H4003:K4003"/>
  </mergeCells>
  <phoneticPr fontId="0" type="noConversion"/>
  <hyperlinks>
    <hyperlink ref="J271" r:id="rId1" display="G:\2273"/>
    <hyperlink ref="C271" r:id="rId2" display="G:\2273"/>
  </hyperlinks>
  <printOptions horizontalCentered="1"/>
  <pageMargins left="0.47" right="0.39370078740157499" top="0.47244094488188998" bottom="0.35433070866141703" header="0.27559055118110198" footer="0.196850393700787"/>
  <pageSetup paperSize="9" scale="70" orientation="landscape"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1554"/>
  <sheetViews>
    <sheetView showZeros="0" view="pageBreakPreview" topLeftCell="A348" zoomScale="60" zoomScaleNormal="40" workbookViewId="0">
      <selection activeCell="C348" sqref="C348"/>
    </sheetView>
  </sheetViews>
  <sheetFormatPr defaultRowHeight="36.75" customHeight="1"/>
  <cols>
    <col min="1" max="1" width="10" style="396" customWidth="1"/>
    <col min="2" max="2" width="64.44140625" style="396" customWidth="1"/>
    <col min="3" max="3" width="18.5546875" style="626" customWidth="1"/>
    <col min="4" max="4" width="11" style="398" customWidth="1"/>
    <col min="5" max="16384" width="8.88671875" style="396"/>
  </cols>
  <sheetData>
    <row r="1" spans="1:4" ht="36.75" customHeight="1">
      <c r="A1" s="1006" t="s">
        <v>6040</v>
      </c>
      <c r="B1" s="1006"/>
      <c r="C1" s="1006"/>
      <c r="D1" s="1006"/>
    </row>
    <row r="2" spans="1:4" s="398" customFormat="1" ht="36.75" customHeight="1">
      <c r="A2" s="1007" t="s">
        <v>224</v>
      </c>
      <c r="B2" s="1007" t="s">
        <v>1777</v>
      </c>
      <c r="C2" s="1007" t="s">
        <v>4962</v>
      </c>
      <c r="D2" s="1007" t="s">
        <v>222</v>
      </c>
    </row>
    <row r="3" spans="1:4" s="398" customFormat="1" ht="36.75" customHeight="1">
      <c r="A3" s="1007"/>
      <c r="B3" s="1007"/>
      <c r="C3" s="1007"/>
      <c r="D3" s="1007"/>
    </row>
    <row r="4" spans="1:4" s="398" customFormat="1" ht="36.75" customHeight="1">
      <c r="A4" s="397"/>
      <c r="B4" s="397"/>
      <c r="C4" s="397"/>
      <c r="D4" s="397"/>
    </row>
    <row r="5" spans="1:4" ht="36.75" customHeight="1">
      <c r="A5" s="399">
        <v>1.1000000000000001</v>
      </c>
      <c r="B5" s="400" t="s">
        <v>6146</v>
      </c>
      <c r="C5" s="401"/>
      <c r="D5" s="402" t="s">
        <v>975</v>
      </c>
    </row>
    <row r="6" spans="1:4" ht="36.75" customHeight="1">
      <c r="A6" s="399"/>
      <c r="B6" s="400" t="s">
        <v>1978</v>
      </c>
      <c r="C6" s="404">
        <f>ROUND(Data!K89,2)</f>
        <v>237.08</v>
      </c>
      <c r="D6" s="402" t="s">
        <v>1197</v>
      </c>
    </row>
    <row r="7" spans="1:4" s="410" customFormat="1" ht="36.75" customHeight="1">
      <c r="A7" s="406"/>
      <c r="B7" s="407" t="s">
        <v>722</v>
      </c>
      <c r="C7" s="408">
        <f>ROUND(Data!K90,2)</f>
        <v>237.08</v>
      </c>
      <c r="D7" s="409" t="s">
        <v>1197</v>
      </c>
    </row>
    <row r="8" spans="1:4" ht="36.75" customHeight="1">
      <c r="A8" s="399">
        <v>1.2</v>
      </c>
      <c r="B8" s="400" t="s">
        <v>6147</v>
      </c>
      <c r="C8" s="411"/>
      <c r="D8" s="402"/>
    </row>
    <row r="9" spans="1:4" ht="36.75" customHeight="1">
      <c r="A9" s="399"/>
      <c r="B9" s="400" t="s">
        <v>1978</v>
      </c>
      <c r="C9" s="411">
        <f>ROUND(Data!K91,2)</f>
        <v>224.1</v>
      </c>
      <c r="D9" s="402" t="s">
        <v>1197</v>
      </c>
    </row>
    <row r="10" spans="1:4" ht="36.75" customHeight="1">
      <c r="A10" s="399"/>
      <c r="B10" s="400" t="s">
        <v>722</v>
      </c>
      <c r="C10" s="411">
        <f>ROUND(Data!K92,2)</f>
        <v>224.1</v>
      </c>
      <c r="D10" s="402" t="s">
        <v>1197</v>
      </c>
    </row>
    <row r="11" spans="1:4" s="410" customFormat="1" ht="36.75" customHeight="1">
      <c r="A11" s="406">
        <v>1.3</v>
      </c>
      <c r="B11" s="407" t="s">
        <v>6148</v>
      </c>
      <c r="C11" s="408"/>
      <c r="D11" s="409" t="s">
        <v>975</v>
      </c>
    </row>
    <row r="12" spans="1:4" s="410" customFormat="1" ht="36.75" customHeight="1">
      <c r="A12" s="406"/>
      <c r="B12" s="407" t="s">
        <v>1978</v>
      </c>
      <c r="C12" s="412">
        <f>ROUND(Data!K102,2)</f>
        <v>346.78</v>
      </c>
      <c r="D12" s="409" t="s">
        <v>1197</v>
      </c>
    </row>
    <row r="13" spans="1:4" ht="36.75" customHeight="1">
      <c r="A13" s="399"/>
      <c r="B13" s="400" t="s">
        <v>722</v>
      </c>
      <c r="C13" s="404">
        <f>ROUND(Data!K103,2)</f>
        <v>346.78</v>
      </c>
      <c r="D13" s="402" t="s">
        <v>1197</v>
      </c>
    </row>
    <row r="14" spans="1:4" ht="36.75" customHeight="1">
      <c r="A14" s="399">
        <v>1.4</v>
      </c>
      <c r="B14" s="400" t="s">
        <v>6149</v>
      </c>
      <c r="C14" s="411"/>
      <c r="D14" s="402"/>
    </row>
    <row r="15" spans="1:4" ht="36.75" customHeight="1">
      <c r="A15" s="399"/>
      <c r="B15" s="400" t="s">
        <v>1978</v>
      </c>
      <c r="C15" s="411">
        <f>ROUND(Data!K117,2)</f>
        <v>125.03</v>
      </c>
      <c r="D15" s="402" t="s">
        <v>1197</v>
      </c>
    </row>
    <row r="16" spans="1:4" ht="36.75" customHeight="1">
      <c r="A16" s="399"/>
      <c r="B16" s="400" t="s">
        <v>722</v>
      </c>
      <c r="C16" s="411">
        <f>ROUND(Data!L117,2)</f>
        <v>125.03</v>
      </c>
      <c r="D16" s="402" t="s">
        <v>1197</v>
      </c>
    </row>
    <row r="17" spans="1:4" ht="36.75" customHeight="1">
      <c r="A17" s="399">
        <v>1.5</v>
      </c>
      <c r="B17" s="400" t="s">
        <v>6150</v>
      </c>
      <c r="C17" s="404"/>
      <c r="D17" s="402" t="s">
        <v>975</v>
      </c>
    </row>
    <row r="18" spans="1:4" ht="36.75" customHeight="1">
      <c r="A18" s="399"/>
      <c r="B18" s="400" t="s">
        <v>1978</v>
      </c>
      <c r="C18" s="404">
        <f>ROUND(Data!K119,2)</f>
        <v>112.05</v>
      </c>
      <c r="D18" s="402" t="s">
        <v>1197</v>
      </c>
    </row>
    <row r="19" spans="1:4" ht="36.75" customHeight="1">
      <c r="A19" s="399"/>
      <c r="B19" s="400" t="s">
        <v>722</v>
      </c>
      <c r="C19" s="411">
        <f>ROUND(Data!K120,2)</f>
        <v>112.05</v>
      </c>
      <c r="D19" s="402" t="s">
        <v>1197</v>
      </c>
    </row>
    <row r="20" spans="1:4" ht="36.75" customHeight="1">
      <c r="A20" s="399"/>
      <c r="B20" s="400" t="s">
        <v>3785</v>
      </c>
      <c r="C20" s="411">
        <f>ROUND(Data!K121,2)</f>
        <v>112.05</v>
      </c>
      <c r="D20" s="402" t="s">
        <v>1197</v>
      </c>
    </row>
    <row r="21" spans="1:4" ht="36.75" customHeight="1">
      <c r="A21" s="399"/>
      <c r="B21" s="400" t="s">
        <v>3786</v>
      </c>
      <c r="C21" s="411">
        <f>ROUND(Data!K122,2)</f>
        <v>112.05</v>
      </c>
      <c r="D21" s="402" t="s">
        <v>1197</v>
      </c>
    </row>
    <row r="22" spans="1:4" ht="36.75" customHeight="1">
      <c r="A22" s="399">
        <v>1.6</v>
      </c>
      <c r="B22" s="400" t="s">
        <v>6151</v>
      </c>
      <c r="C22" s="404"/>
      <c r="D22" s="402"/>
    </row>
    <row r="23" spans="1:4" ht="36.75" customHeight="1">
      <c r="A23" s="399"/>
      <c r="B23" s="400" t="s">
        <v>1978</v>
      </c>
      <c r="C23" s="404">
        <f>ROUND(Data!K134,2)</f>
        <v>168.08</v>
      </c>
      <c r="D23" s="402" t="s">
        <v>1197</v>
      </c>
    </row>
    <row r="24" spans="1:4" ht="36.75" customHeight="1">
      <c r="A24" s="399"/>
      <c r="B24" s="400" t="s">
        <v>722</v>
      </c>
      <c r="C24" s="411">
        <f>ROUND(Data!K135,2)</f>
        <v>168.08</v>
      </c>
      <c r="D24" s="402" t="s">
        <v>1197</v>
      </c>
    </row>
    <row r="25" spans="1:4" ht="36.75" customHeight="1">
      <c r="A25" s="399">
        <v>1.7</v>
      </c>
      <c r="B25" s="400" t="s">
        <v>6152</v>
      </c>
      <c r="C25" s="411"/>
      <c r="D25" s="402" t="s">
        <v>975</v>
      </c>
    </row>
    <row r="26" spans="1:4" ht="36.75" customHeight="1">
      <c r="A26" s="399"/>
      <c r="B26" s="400" t="s">
        <v>1978</v>
      </c>
      <c r="C26" s="411">
        <f>ROUND(Data!K105,2)</f>
        <v>333.8</v>
      </c>
      <c r="D26" s="402" t="s">
        <v>1197</v>
      </c>
    </row>
    <row r="27" spans="1:4" ht="36.75" customHeight="1">
      <c r="A27" s="399"/>
      <c r="B27" s="400" t="s">
        <v>722</v>
      </c>
      <c r="C27" s="411">
        <f>ROUND(Data!K106,2)</f>
        <v>333.8</v>
      </c>
      <c r="D27" s="402" t="s">
        <v>1197</v>
      </c>
    </row>
    <row r="28" spans="1:4" ht="36.75" customHeight="1">
      <c r="A28" s="399">
        <v>1.8</v>
      </c>
      <c r="B28" s="400" t="s">
        <v>6153</v>
      </c>
      <c r="C28" s="404"/>
      <c r="D28" s="402" t="s">
        <v>975</v>
      </c>
    </row>
    <row r="29" spans="1:4" s="413" customFormat="1" ht="36.75" customHeight="1">
      <c r="A29" s="399"/>
      <c r="B29" s="400" t="s">
        <v>1978</v>
      </c>
      <c r="C29" s="411">
        <f>ROUND(Data!K130,2)</f>
        <v>166.9</v>
      </c>
      <c r="D29" s="402" t="s">
        <v>1197</v>
      </c>
    </row>
    <row r="30" spans="1:4" ht="36.75" customHeight="1">
      <c r="A30" s="399"/>
      <c r="B30" s="400" t="s">
        <v>722</v>
      </c>
      <c r="C30" s="411">
        <f>ROUND(Data!K131,2)</f>
        <v>166.9</v>
      </c>
      <c r="D30" s="402" t="s">
        <v>1197</v>
      </c>
    </row>
    <row r="31" spans="1:4" ht="36.75" customHeight="1">
      <c r="A31" s="399">
        <v>1.9</v>
      </c>
      <c r="B31" s="400" t="s">
        <v>475</v>
      </c>
      <c r="C31" s="411"/>
      <c r="D31" s="402"/>
    </row>
    <row r="32" spans="1:4" ht="36.75" customHeight="1">
      <c r="A32" s="399"/>
      <c r="B32" s="400" t="s">
        <v>476</v>
      </c>
      <c r="C32" s="411"/>
      <c r="D32" s="402" t="s">
        <v>826</v>
      </c>
    </row>
    <row r="33" spans="1:4" ht="36.75" customHeight="1">
      <c r="A33" s="399"/>
      <c r="B33" s="400" t="s">
        <v>477</v>
      </c>
      <c r="C33" s="411"/>
      <c r="D33" s="402" t="s">
        <v>826</v>
      </c>
    </row>
    <row r="34" spans="1:4" ht="36.75" customHeight="1">
      <c r="A34" s="399"/>
      <c r="B34" s="400" t="s">
        <v>478</v>
      </c>
      <c r="C34" s="411"/>
      <c r="D34" s="402" t="s">
        <v>826</v>
      </c>
    </row>
    <row r="35" spans="1:4" ht="36.75" customHeight="1">
      <c r="A35" s="399"/>
      <c r="B35" s="400" t="s">
        <v>2066</v>
      </c>
      <c r="C35" s="411"/>
      <c r="D35" s="402" t="s">
        <v>826</v>
      </c>
    </row>
    <row r="36" spans="1:4" ht="36.75" customHeight="1">
      <c r="A36" s="399"/>
      <c r="B36" s="400" t="s">
        <v>2067</v>
      </c>
      <c r="C36" s="411"/>
      <c r="D36" s="402" t="s">
        <v>826</v>
      </c>
    </row>
    <row r="37" spans="1:4" ht="36.75" customHeight="1">
      <c r="A37" s="399"/>
      <c r="B37" s="400" t="s">
        <v>231</v>
      </c>
      <c r="C37" s="411"/>
      <c r="D37" s="402" t="s">
        <v>826</v>
      </c>
    </row>
    <row r="38" spans="1:4" s="413" customFormat="1" ht="36.75" customHeight="1">
      <c r="A38" s="399">
        <v>2.1</v>
      </c>
      <c r="B38" s="400" t="s">
        <v>4963</v>
      </c>
      <c r="C38" s="404">
        <f>ROUND(Data!K145,2)</f>
        <v>2108.2600000000002</v>
      </c>
      <c r="D38" s="402" t="s">
        <v>1197</v>
      </c>
    </row>
    <row r="39" spans="1:4" ht="36.75" customHeight="1">
      <c r="A39" s="399">
        <v>2.2000000000000002</v>
      </c>
      <c r="B39" s="400" t="s">
        <v>232</v>
      </c>
      <c r="C39" s="411">
        <f>ROUND(Data!K162,2)</f>
        <v>1773.33</v>
      </c>
      <c r="D39" s="402" t="s">
        <v>1197</v>
      </c>
    </row>
    <row r="40" spans="1:4" s="410" customFormat="1" ht="36.75" customHeight="1">
      <c r="A40" s="406">
        <v>2.2999999999999998</v>
      </c>
      <c r="B40" s="407" t="s">
        <v>1992</v>
      </c>
      <c r="C40" s="412">
        <f>ROUND(Data!C166,2)</f>
        <v>851.21</v>
      </c>
      <c r="D40" s="409" t="s">
        <v>1197</v>
      </c>
    </row>
    <row r="41" spans="1:4" s="410" customFormat="1" ht="36.75" customHeight="1">
      <c r="A41" s="406">
        <v>2.4</v>
      </c>
      <c r="B41" s="407" t="s">
        <v>362</v>
      </c>
      <c r="C41" s="412">
        <f>ROUND(Data!C167,2)</f>
        <v>932.21</v>
      </c>
      <c r="D41" s="409" t="s">
        <v>1197</v>
      </c>
    </row>
    <row r="42" spans="1:4" ht="36.75" customHeight="1">
      <c r="A42" s="399">
        <v>2.5</v>
      </c>
      <c r="B42" s="400" t="s">
        <v>366</v>
      </c>
      <c r="C42" s="411">
        <f>ROUND(Data!K190,2)</f>
        <v>276.3</v>
      </c>
      <c r="D42" s="402" t="s">
        <v>1197</v>
      </c>
    </row>
    <row r="43" spans="1:4" ht="36.75" customHeight="1">
      <c r="A43" s="399">
        <v>2.6</v>
      </c>
      <c r="B43" s="400" t="s">
        <v>480</v>
      </c>
      <c r="C43" s="404">
        <f>ROUND(Data!K172,2)</f>
        <v>1201.95</v>
      </c>
      <c r="D43" s="402" t="s">
        <v>1197</v>
      </c>
    </row>
    <row r="44" spans="1:4" ht="36.75" customHeight="1">
      <c r="A44" s="399">
        <v>2.7</v>
      </c>
      <c r="B44" s="400" t="s">
        <v>302</v>
      </c>
      <c r="C44" s="404">
        <f>ROUND(Data!K180,2)</f>
        <v>1621.15</v>
      </c>
      <c r="D44" s="402" t="s">
        <v>1197</v>
      </c>
    </row>
    <row r="45" spans="1:4" s="413" customFormat="1" ht="36.75" customHeight="1">
      <c r="A45" s="399">
        <v>3.1</v>
      </c>
      <c r="B45" s="400" t="s">
        <v>1885</v>
      </c>
      <c r="C45" s="404">
        <f>ROUND(Data!K205,2)</f>
        <v>4887.9799999999996</v>
      </c>
      <c r="D45" s="402" t="s">
        <v>1197</v>
      </c>
    </row>
    <row r="46" spans="1:4" ht="36.75" customHeight="1">
      <c r="A46" s="399">
        <v>3.2</v>
      </c>
      <c r="B46" s="400" t="s">
        <v>1934</v>
      </c>
      <c r="C46" s="404">
        <f>ROUND(Data!K220,2)</f>
        <v>6439.44</v>
      </c>
      <c r="D46" s="402" t="s">
        <v>1197</v>
      </c>
    </row>
    <row r="47" spans="1:4" ht="36.75" customHeight="1">
      <c r="A47" s="399">
        <v>3.3</v>
      </c>
      <c r="B47" s="400" t="s">
        <v>1935</v>
      </c>
      <c r="C47" s="404">
        <f>ROUND(Data!K235,2)</f>
        <v>4351.67</v>
      </c>
      <c r="D47" s="402" t="s">
        <v>1197</v>
      </c>
    </row>
    <row r="48" spans="1:4" ht="36.75" customHeight="1">
      <c r="A48" s="399">
        <v>3.4</v>
      </c>
      <c r="B48" s="400" t="s">
        <v>595</v>
      </c>
      <c r="C48" s="411"/>
      <c r="D48" s="402" t="s">
        <v>1842</v>
      </c>
    </row>
    <row r="49" spans="1:4" ht="36.75" customHeight="1">
      <c r="A49" s="399">
        <v>3.5</v>
      </c>
      <c r="B49" s="400" t="s">
        <v>596</v>
      </c>
      <c r="C49" s="411"/>
      <c r="D49" s="402" t="s">
        <v>1842</v>
      </c>
    </row>
    <row r="50" spans="1:4" ht="36.75" customHeight="1">
      <c r="A50" s="399">
        <v>3.6</v>
      </c>
      <c r="B50" s="400" t="s">
        <v>821</v>
      </c>
      <c r="C50" s="411">
        <f>ROUND(Data!K250,2)</f>
        <v>164.24</v>
      </c>
      <c r="D50" s="402" t="s">
        <v>1842</v>
      </c>
    </row>
    <row r="51" spans="1:4" ht="36.75" customHeight="1">
      <c r="A51" s="399">
        <v>3.7</v>
      </c>
      <c r="B51" s="400" t="s">
        <v>1886</v>
      </c>
      <c r="C51" s="411">
        <f>ROUND(Data!K262,2)</f>
        <v>141.09</v>
      </c>
      <c r="D51" s="402" t="s">
        <v>1842</v>
      </c>
    </row>
    <row r="52" spans="1:4" ht="36.75" customHeight="1">
      <c r="A52" s="399">
        <v>4.0999999999999996</v>
      </c>
      <c r="B52" s="414" t="s">
        <v>6154</v>
      </c>
      <c r="C52" s="404">
        <f>ROUND(Data!K286,2)</f>
        <v>7994.37</v>
      </c>
      <c r="D52" s="402" t="s">
        <v>1197</v>
      </c>
    </row>
    <row r="53" spans="1:4" ht="36.75" customHeight="1">
      <c r="A53" s="399">
        <v>4.2</v>
      </c>
      <c r="B53" s="414" t="s">
        <v>6155</v>
      </c>
      <c r="C53" s="404">
        <f>Data!K822</f>
        <v>8644.8799999999992</v>
      </c>
      <c r="D53" s="402" t="s">
        <v>1197</v>
      </c>
    </row>
    <row r="54" spans="1:4" s="410" customFormat="1" ht="36.75" customHeight="1">
      <c r="A54" s="406">
        <v>5</v>
      </c>
      <c r="B54" s="407" t="s">
        <v>888</v>
      </c>
      <c r="C54" s="408">
        <f>ROUND(Data!K307,2)</f>
        <v>5320.88</v>
      </c>
      <c r="D54" s="409" t="s">
        <v>1197</v>
      </c>
    </row>
    <row r="55" spans="1:4" ht="36.75" customHeight="1">
      <c r="A55" s="399">
        <v>6.1</v>
      </c>
      <c r="B55" s="414" t="s">
        <v>6156</v>
      </c>
      <c r="C55" s="411">
        <f>Data!X322</f>
        <v>6947.96</v>
      </c>
      <c r="D55" s="402" t="s">
        <v>1197</v>
      </c>
    </row>
    <row r="56" spans="1:4" ht="36.75" customHeight="1">
      <c r="A56" s="399">
        <v>6.2</v>
      </c>
      <c r="B56" s="414" t="s">
        <v>6157</v>
      </c>
      <c r="C56" s="404">
        <f>ROUND(Data!AG322,2)</f>
        <v>6598.86</v>
      </c>
      <c r="D56" s="402" t="s">
        <v>1197</v>
      </c>
    </row>
    <row r="57" spans="1:4" ht="36.75" customHeight="1">
      <c r="A57" s="399">
        <v>6.3</v>
      </c>
      <c r="B57" s="414" t="s">
        <v>6158</v>
      </c>
      <c r="C57" s="411"/>
      <c r="D57" s="402" t="s">
        <v>1197</v>
      </c>
    </row>
    <row r="58" spans="1:4" ht="36.75" customHeight="1">
      <c r="A58" s="399">
        <v>6.4</v>
      </c>
      <c r="B58" s="414" t="s">
        <v>6159</v>
      </c>
      <c r="C58" s="411"/>
      <c r="D58" s="402" t="s">
        <v>1197</v>
      </c>
    </row>
    <row r="59" spans="1:4" s="410" customFormat="1" ht="36.75" customHeight="1">
      <c r="A59" s="406">
        <v>6.5</v>
      </c>
      <c r="B59" s="415" t="s">
        <v>6160</v>
      </c>
      <c r="C59" s="408">
        <f>Data!K322</f>
        <v>6718.36</v>
      </c>
      <c r="D59" s="409" t="s">
        <v>1197</v>
      </c>
    </row>
    <row r="60" spans="1:4" ht="36.75" customHeight="1">
      <c r="A60" s="399">
        <v>6.6</v>
      </c>
      <c r="B60" s="414" t="s">
        <v>6161</v>
      </c>
      <c r="C60" s="411"/>
      <c r="D60" s="402" t="s">
        <v>1197</v>
      </c>
    </row>
    <row r="61" spans="1:4" ht="36.75" customHeight="1">
      <c r="A61" s="399">
        <v>7.1</v>
      </c>
      <c r="B61" s="414" t="s">
        <v>6162</v>
      </c>
      <c r="C61" s="411"/>
      <c r="D61" s="402" t="s">
        <v>1842</v>
      </c>
    </row>
    <row r="62" spans="1:4" ht="36.75" customHeight="1">
      <c r="A62" s="399">
        <v>7.2</v>
      </c>
      <c r="B62" s="400" t="s">
        <v>6163</v>
      </c>
      <c r="C62" s="404">
        <f>ROUND(Data!K330,2)</f>
        <v>719</v>
      </c>
      <c r="D62" s="402" t="s">
        <v>1842</v>
      </c>
    </row>
    <row r="63" spans="1:4" ht="36.75" customHeight="1">
      <c r="A63" s="399">
        <v>7.3</v>
      </c>
      <c r="B63" s="414" t="s">
        <v>6164</v>
      </c>
      <c r="C63" s="411">
        <f>ROUND(Data!K498,2)</f>
        <v>320.27</v>
      </c>
      <c r="D63" s="402" t="s">
        <v>1842</v>
      </c>
    </row>
    <row r="64" spans="1:4" s="413" customFormat="1" ht="36.75" customHeight="1">
      <c r="A64" s="399">
        <v>8.1</v>
      </c>
      <c r="B64" s="414" t="s">
        <v>597</v>
      </c>
      <c r="C64" s="404"/>
      <c r="D64" s="402"/>
    </row>
    <row r="65" spans="1:4" s="413" customFormat="1" ht="36.75" customHeight="1">
      <c r="A65" s="399"/>
      <c r="B65" s="400" t="s">
        <v>1252</v>
      </c>
      <c r="C65" s="404">
        <f>ROUND(Data!K288,2)</f>
        <v>8114.22</v>
      </c>
      <c r="D65" s="402" t="s">
        <v>1197</v>
      </c>
    </row>
    <row r="66" spans="1:4" s="413" customFormat="1" ht="36.75" customHeight="1">
      <c r="A66" s="399"/>
      <c r="B66" s="400" t="s">
        <v>1386</v>
      </c>
      <c r="C66" s="404">
        <f>ROUND(Data!K289,2)</f>
        <v>8350.32</v>
      </c>
      <c r="D66" s="402" t="s">
        <v>1197</v>
      </c>
    </row>
    <row r="67" spans="1:4" s="413" customFormat="1" ht="36.75" customHeight="1">
      <c r="A67" s="399"/>
      <c r="B67" s="400" t="s">
        <v>1434</v>
      </c>
      <c r="C67" s="404">
        <f>ROUND(Data!K290,2)</f>
        <v>8586.42</v>
      </c>
      <c r="D67" s="402" t="s">
        <v>1197</v>
      </c>
    </row>
    <row r="68" spans="1:4" s="413" customFormat="1" ht="36.75" customHeight="1">
      <c r="A68" s="399"/>
      <c r="B68" s="400" t="s">
        <v>1324</v>
      </c>
      <c r="C68" s="404">
        <f>ROUND(Data!K291,2)</f>
        <v>8822.52</v>
      </c>
      <c r="D68" s="402" t="s">
        <v>1197</v>
      </c>
    </row>
    <row r="69" spans="1:4" s="413" customFormat="1" ht="36.75" customHeight="1">
      <c r="A69" s="416"/>
      <c r="B69" s="400" t="s">
        <v>1078</v>
      </c>
      <c r="C69" s="404">
        <f>ROUND(Data!K292,2)</f>
        <v>9058.6200000000008</v>
      </c>
      <c r="D69" s="402" t="s">
        <v>1197</v>
      </c>
    </row>
    <row r="70" spans="1:4" ht="36.75" customHeight="1">
      <c r="A70" s="399">
        <v>8.1999999999999993</v>
      </c>
      <c r="B70" s="414" t="s">
        <v>1079</v>
      </c>
      <c r="C70" s="411"/>
      <c r="D70" s="402"/>
    </row>
    <row r="71" spans="1:4" ht="36.75" customHeight="1">
      <c r="A71" s="400"/>
      <c r="B71" s="400" t="s">
        <v>1252</v>
      </c>
      <c r="C71" s="411">
        <f>ROUND(Data!K824,2)</f>
        <v>8764.73</v>
      </c>
      <c r="D71" s="402" t="s">
        <v>1197</v>
      </c>
    </row>
    <row r="72" spans="1:4" ht="36.75" customHeight="1">
      <c r="A72" s="400"/>
      <c r="B72" s="400" t="s">
        <v>1386</v>
      </c>
      <c r="C72" s="411">
        <f>ROUND(Data!K825,2)</f>
        <v>9000.83</v>
      </c>
      <c r="D72" s="402" t="s">
        <v>1197</v>
      </c>
    </row>
    <row r="73" spans="1:4" ht="36.75" customHeight="1">
      <c r="A73" s="400"/>
      <c r="B73" s="400" t="s">
        <v>1434</v>
      </c>
      <c r="C73" s="411">
        <f>ROUND(Data!K826,2)</f>
        <v>9236.93</v>
      </c>
      <c r="D73" s="402" t="s">
        <v>1197</v>
      </c>
    </row>
    <row r="74" spans="1:4" ht="36.75" customHeight="1">
      <c r="A74" s="400"/>
      <c r="B74" s="400" t="s">
        <v>1324</v>
      </c>
      <c r="C74" s="411">
        <f>ROUND(Data!K827,2)</f>
        <v>9473.0300000000007</v>
      </c>
      <c r="D74" s="402" t="s">
        <v>1197</v>
      </c>
    </row>
    <row r="75" spans="1:4" ht="36.75" customHeight="1">
      <c r="A75" s="399"/>
      <c r="B75" s="400" t="s">
        <v>1078</v>
      </c>
      <c r="C75" s="411">
        <f>ROUND(Data!K828,2)</f>
        <v>9709.1299999999992</v>
      </c>
      <c r="D75" s="402" t="s">
        <v>1197</v>
      </c>
    </row>
    <row r="76" spans="1:4" ht="36.75" customHeight="1">
      <c r="A76" s="399"/>
      <c r="B76" s="400" t="s">
        <v>3771</v>
      </c>
      <c r="C76" s="411">
        <f>ROUND(Data!K829,2)</f>
        <v>9945.23</v>
      </c>
      <c r="D76" s="402" t="s">
        <v>1197</v>
      </c>
    </row>
    <row r="77" spans="1:4" ht="36.75" customHeight="1">
      <c r="A77" s="399"/>
      <c r="B77" s="400" t="s">
        <v>3772</v>
      </c>
      <c r="C77" s="411">
        <f>ROUND(Data!K830,2)</f>
        <v>10181.33</v>
      </c>
      <c r="D77" s="402" t="s">
        <v>1197</v>
      </c>
    </row>
    <row r="78" spans="1:4" ht="36.75" customHeight="1">
      <c r="A78" s="399"/>
      <c r="B78" s="400" t="s">
        <v>3773</v>
      </c>
      <c r="C78" s="411">
        <f>ROUND(Data!K831,2)</f>
        <v>10417.43</v>
      </c>
      <c r="D78" s="402" t="s">
        <v>1197</v>
      </c>
    </row>
    <row r="79" spans="1:4" ht="36.75" customHeight="1">
      <c r="A79" s="399"/>
      <c r="B79" s="400" t="s">
        <v>3774</v>
      </c>
      <c r="C79" s="411">
        <f>ROUND(Data!K832,2)</f>
        <v>10653.53</v>
      </c>
      <c r="D79" s="402" t="s">
        <v>1197</v>
      </c>
    </row>
    <row r="80" spans="1:4" ht="36.75" customHeight="1">
      <c r="A80" s="399"/>
      <c r="B80" s="400" t="s">
        <v>3775</v>
      </c>
      <c r="C80" s="411">
        <f>ROUND(Data!K833,2)</f>
        <v>10889.63</v>
      </c>
      <c r="D80" s="402" t="s">
        <v>1197</v>
      </c>
    </row>
    <row r="81" spans="1:4" ht="36.75" customHeight="1">
      <c r="A81" s="399"/>
      <c r="B81" s="400" t="s">
        <v>3776</v>
      </c>
      <c r="C81" s="411">
        <f>ROUND(Data!K834,2)</f>
        <v>11125.73</v>
      </c>
      <c r="D81" s="402" t="s">
        <v>1197</v>
      </c>
    </row>
    <row r="82" spans="1:4" ht="36.75" customHeight="1">
      <c r="A82" s="399"/>
      <c r="B82" s="400" t="s">
        <v>3777</v>
      </c>
      <c r="C82" s="411">
        <f>ROUND(Data!K835,2)</f>
        <v>11361.83</v>
      </c>
      <c r="D82" s="402" t="s">
        <v>1197</v>
      </c>
    </row>
    <row r="83" spans="1:4" ht="36.75" customHeight="1">
      <c r="A83" s="399"/>
      <c r="B83" s="400" t="s">
        <v>3778</v>
      </c>
      <c r="C83" s="411">
        <f>ROUND(Data!K836,2)</f>
        <v>11597.93</v>
      </c>
      <c r="D83" s="402" t="s">
        <v>1197</v>
      </c>
    </row>
    <row r="84" spans="1:4" ht="36.75" customHeight="1">
      <c r="A84" s="399">
        <v>9.1</v>
      </c>
      <c r="B84" s="400" t="s">
        <v>2237</v>
      </c>
      <c r="C84" s="411"/>
      <c r="D84" s="402"/>
    </row>
    <row r="85" spans="1:4" ht="36.75" customHeight="1">
      <c r="A85" s="399"/>
      <c r="B85" s="400" t="s">
        <v>202</v>
      </c>
      <c r="C85" s="411">
        <f>Data!X348</f>
        <v>6954.38</v>
      </c>
      <c r="D85" s="402" t="s">
        <v>1197</v>
      </c>
    </row>
    <row r="86" spans="1:4" ht="36.75" customHeight="1">
      <c r="A86" s="399"/>
      <c r="B86" s="400" t="s">
        <v>203</v>
      </c>
      <c r="C86" s="411">
        <f>Data!X349</f>
        <v>7113.58</v>
      </c>
      <c r="D86" s="402" t="s">
        <v>1197</v>
      </c>
    </row>
    <row r="87" spans="1:4" ht="36.75" customHeight="1">
      <c r="A87" s="399"/>
      <c r="B87" s="400" t="s">
        <v>204</v>
      </c>
      <c r="C87" s="411">
        <f>Data!X350</f>
        <v>7272.78</v>
      </c>
      <c r="D87" s="402" t="s">
        <v>1197</v>
      </c>
    </row>
    <row r="88" spans="1:4" ht="36.75" customHeight="1">
      <c r="A88" s="399"/>
      <c r="B88" s="400" t="s">
        <v>205</v>
      </c>
      <c r="C88" s="411">
        <f>Data!X351</f>
        <v>7431.98</v>
      </c>
      <c r="D88" s="402" t="s">
        <v>1197</v>
      </c>
    </row>
    <row r="89" spans="1:4" ht="36.75" customHeight="1">
      <c r="A89" s="399"/>
      <c r="B89" s="400" t="s">
        <v>606</v>
      </c>
      <c r="C89" s="411">
        <f>Data!X352</f>
        <v>7591.18</v>
      </c>
      <c r="D89" s="402" t="s">
        <v>1197</v>
      </c>
    </row>
    <row r="90" spans="1:4" ht="36.75" customHeight="1">
      <c r="A90" s="399">
        <v>9.1999999999999993</v>
      </c>
      <c r="B90" s="414" t="s">
        <v>6165</v>
      </c>
      <c r="C90" s="411"/>
      <c r="D90" s="402"/>
    </row>
    <row r="91" spans="1:4" ht="36.75" customHeight="1">
      <c r="A91" s="399"/>
      <c r="B91" s="400" t="s">
        <v>3789</v>
      </c>
      <c r="C91" s="411">
        <f>ROUND(Data!AG348,2)</f>
        <v>6619.77</v>
      </c>
      <c r="D91" s="402" t="s">
        <v>1197</v>
      </c>
    </row>
    <row r="92" spans="1:4" ht="36.75" customHeight="1">
      <c r="A92" s="399"/>
      <c r="B92" s="400" t="s">
        <v>203</v>
      </c>
      <c r="C92" s="411">
        <f>ROUND(Data!AG349,2)</f>
        <v>6778.97</v>
      </c>
      <c r="D92" s="402" t="s">
        <v>1197</v>
      </c>
    </row>
    <row r="93" spans="1:4" ht="36.75" customHeight="1">
      <c r="A93" s="399"/>
      <c r="B93" s="400" t="s">
        <v>204</v>
      </c>
      <c r="C93" s="411">
        <f>ROUND(Data!AG350,2)</f>
        <v>6938.17</v>
      </c>
      <c r="D93" s="402" t="s">
        <v>1197</v>
      </c>
    </row>
    <row r="94" spans="1:4" ht="36.75" customHeight="1">
      <c r="A94" s="399"/>
      <c r="B94" s="400" t="s">
        <v>205</v>
      </c>
      <c r="C94" s="411">
        <f>ROUND(Data!AG351,2)</f>
        <v>7097.37</v>
      </c>
      <c r="D94" s="402" t="s">
        <v>1197</v>
      </c>
    </row>
    <row r="95" spans="1:4" ht="36.75" customHeight="1">
      <c r="A95" s="399"/>
      <c r="B95" s="400" t="s">
        <v>606</v>
      </c>
      <c r="C95" s="411">
        <f>ROUND(Data!AG352,2)</f>
        <v>7256.57</v>
      </c>
      <c r="D95" s="402" t="s">
        <v>1197</v>
      </c>
    </row>
    <row r="96" spans="1:4" ht="36.75" customHeight="1">
      <c r="A96" s="399"/>
      <c r="B96" s="400" t="s">
        <v>3771</v>
      </c>
      <c r="C96" s="411">
        <f>ROUND(Data!AG353,2)</f>
        <v>7415.77</v>
      </c>
      <c r="D96" s="402" t="s">
        <v>1197</v>
      </c>
    </row>
    <row r="97" spans="1:4" ht="36.75" customHeight="1">
      <c r="A97" s="399"/>
      <c r="B97" s="400" t="s">
        <v>3772</v>
      </c>
      <c r="C97" s="411">
        <f>ROUND(Data!AG354,2)</f>
        <v>7574.97</v>
      </c>
      <c r="D97" s="402" t="s">
        <v>1197</v>
      </c>
    </row>
    <row r="98" spans="1:4" ht="36.75" customHeight="1">
      <c r="A98" s="399"/>
      <c r="B98" s="400" t="s">
        <v>3773</v>
      </c>
      <c r="C98" s="411">
        <f>ROUND(Data!AG355,2)</f>
        <v>7734.17</v>
      </c>
      <c r="D98" s="402" t="s">
        <v>1197</v>
      </c>
    </row>
    <row r="99" spans="1:4" ht="36.75" customHeight="1">
      <c r="A99" s="399"/>
      <c r="B99" s="400" t="s">
        <v>3774</v>
      </c>
      <c r="C99" s="411">
        <f>ROUND(Data!AG356,2)</f>
        <v>7893.37</v>
      </c>
      <c r="D99" s="402" t="s">
        <v>1197</v>
      </c>
    </row>
    <row r="100" spans="1:4" ht="36.75" customHeight="1">
      <c r="A100" s="399"/>
      <c r="B100" s="400" t="s">
        <v>3775</v>
      </c>
      <c r="C100" s="411">
        <f>ROUND(Data!AG357,2)</f>
        <v>8052.57</v>
      </c>
      <c r="D100" s="402" t="s">
        <v>1197</v>
      </c>
    </row>
    <row r="101" spans="1:4" ht="36.75" customHeight="1">
      <c r="A101" s="399"/>
      <c r="B101" s="400" t="s">
        <v>3776</v>
      </c>
      <c r="C101" s="411">
        <f>ROUND(Data!AG358,2)</f>
        <v>8211.77</v>
      </c>
      <c r="D101" s="402" t="s">
        <v>1197</v>
      </c>
    </row>
    <row r="102" spans="1:4" ht="36.75" customHeight="1">
      <c r="A102" s="399"/>
      <c r="B102" s="400" t="s">
        <v>3777</v>
      </c>
      <c r="C102" s="411">
        <f>ROUND(Data!AG359,2)</f>
        <v>8370.9699999999993</v>
      </c>
      <c r="D102" s="402" t="s">
        <v>1197</v>
      </c>
    </row>
    <row r="103" spans="1:4" ht="36.75" customHeight="1">
      <c r="A103" s="399"/>
      <c r="B103" s="400" t="s">
        <v>3778</v>
      </c>
      <c r="C103" s="411">
        <f>ROUND(Data!AG360,2)</f>
        <v>8530.17</v>
      </c>
      <c r="D103" s="402" t="s">
        <v>1197</v>
      </c>
    </row>
    <row r="104" spans="1:4" ht="36.75" customHeight="1">
      <c r="A104" s="399"/>
      <c r="B104" s="400" t="s">
        <v>3783</v>
      </c>
      <c r="C104" s="411">
        <f>ROUND(Data!AG361,2)</f>
        <v>8689.3700000000008</v>
      </c>
      <c r="D104" s="402" t="s">
        <v>1197</v>
      </c>
    </row>
    <row r="105" spans="1:4" ht="36.75" customHeight="1">
      <c r="A105" s="399">
        <v>9.3000000000000007</v>
      </c>
      <c r="B105" s="400" t="s">
        <v>1809</v>
      </c>
      <c r="C105" s="411"/>
      <c r="D105" s="402"/>
    </row>
    <row r="106" spans="1:4" ht="36.75" customHeight="1">
      <c r="A106" s="399"/>
      <c r="B106" s="400" t="s">
        <v>202</v>
      </c>
      <c r="C106" s="411"/>
      <c r="D106" s="402" t="s">
        <v>1197</v>
      </c>
    </row>
    <row r="107" spans="1:4" ht="36.75" customHeight="1">
      <c r="A107" s="399"/>
      <c r="B107" s="400" t="s">
        <v>203</v>
      </c>
      <c r="C107" s="411"/>
      <c r="D107" s="402" t="s">
        <v>1197</v>
      </c>
    </row>
    <row r="108" spans="1:4" ht="36.75" customHeight="1">
      <c r="A108" s="399"/>
      <c r="B108" s="400" t="s">
        <v>204</v>
      </c>
      <c r="C108" s="411"/>
      <c r="D108" s="402" t="s">
        <v>1197</v>
      </c>
    </row>
    <row r="109" spans="1:4" ht="36.75" customHeight="1">
      <c r="A109" s="399"/>
      <c r="B109" s="400" t="s">
        <v>205</v>
      </c>
      <c r="C109" s="411"/>
      <c r="D109" s="402" t="s">
        <v>1197</v>
      </c>
    </row>
    <row r="110" spans="1:4" ht="36.75" customHeight="1">
      <c r="A110" s="417"/>
      <c r="B110" s="400" t="s">
        <v>606</v>
      </c>
      <c r="C110" s="411"/>
      <c r="D110" s="402" t="s">
        <v>1197</v>
      </c>
    </row>
    <row r="111" spans="1:4" ht="36.75" customHeight="1">
      <c r="A111" s="399">
        <v>9.4</v>
      </c>
      <c r="B111" s="400" t="s">
        <v>6166</v>
      </c>
      <c r="C111" s="411"/>
      <c r="D111" s="402"/>
    </row>
    <row r="112" spans="1:4" ht="36.75" customHeight="1">
      <c r="A112" s="399"/>
      <c r="B112" s="400" t="s">
        <v>202</v>
      </c>
      <c r="C112" s="411"/>
      <c r="D112" s="402" t="s">
        <v>1197</v>
      </c>
    </row>
    <row r="113" spans="1:4" ht="36.75" customHeight="1">
      <c r="A113" s="399"/>
      <c r="B113" s="400" t="s">
        <v>203</v>
      </c>
      <c r="C113" s="411"/>
      <c r="D113" s="402" t="s">
        <v>1197</v>
      </c>
    </row>
    <row r="114" spans="1:4" ht="36.75" customHeight="1">
      <c r="A114" s="399"/>
      <c r="B114" s="400" t="s">
        <v>204</v>
      </c>
      <c r="C114" s="411"/>
      <c r="D114" s="402" t="s">
        <v>1197</v>
      </c>
    </row>
    <row r="115" spans="1:4" ht="36.75" customHeight="1">
      <c r="A115" s="399"/>
      <c r="B115" s="400" t="s">
        <v>205</v>
      </c>
      <c r="C115" s="411"/>
      <c r="D115" s="402" t="s">
        <v>1197</v>
      </c>
    </row>
    <row r="116" spans="1:4" ht="36.75" customHeight="1">
      <c r="A116" s="417"/>
      <c r="B116" s="400" t="s">
        <v>606</v>
      </c>
      <c r="C116" s="411"/>
      <c r="D116" s="402" t="s">
        <v>1197</v>
      </c>
    </row>
    <row r="117" spans="1:4" s="410" customFormat="1" ht="36.75" customHeight="1">
      <c r="A117" s="406">
        <v>9.5</v>
      </c>
      <c r="B117" s="415" t="s">
        <v>54</v>
      </c>
      <c r="C117" s="408"/>
      <c r="D117" s="409"/>
    </row>
    <row r="118" spans="1:4" s="410" customFormat="1" ht="36.75" customHeight="1">
      <c r="A118" s="406"/>
      <c r="B118" s="407" t="s">
        <v>202</v>
      </c>
      <c r="C118" s="408">
        <f>ROUND(Data!K348,2)</f>
        <v>6724.28</v>
      </c>
      <c r="D118" s="409" t="s">
        <v>1197</v>
      </c>
    </row>
    <row r="119" spans="1:4" s="410" customFormat="1" ht="36.75" customHeight="1">
      <c r="A119" s="406"/>
      <c r="B119" s="407" t="s">
        <v>203</v>
      </c>
      <c r="C119" s="408">
        <f>ROUND(Data!K349,2)</f>
        <v>6883.48</v>
      </c>
      <c r="D119" s="409" t="s">
        <v>1197</v>
      </c>
    </row>
    <row r="120" spans="1:4" s="410" customFormat="1" ht="36.75" customHeight="1">
      <c r="A120" s="406"/>
      <c r="B120" s="407" t="s">
        <v>204</v>
      </c>
      <c r="C120" s="408">
        <f>ROUND(Data!K350,2)</f>
        <v>7042.68</v>
      </c>
      <c r="D120" s="409" t="s">
        <v>1197</v>
      </c>
    </row>
    <row r="121" spans="1:4" s="410" customFormat="1" ht="36.75" customHeight="1">
      <c r="A121" s="406"/>
      <c r="B121" s="407" t="s">
        <v>205</v>
      </c>
      <c r="C121" s="408">
        <f>ROUND(Data!K351,2)</f>
        <v>7201.88</v>
      </c>
      <c r="D121" s="409" t="s">
        <v>1197</v>
      </c>
    </row>
    <row r="122" spans="1:4" s="410" customFormat="1" ht="36.75" customHeight="1">
      <c r="A122" s="418"/>
      <c r="B122" s="407" t="s">
        <v>606</v>
      </c>
      <c r="C122" s="408">
        <f>ROUND(Data!K352,2)</f>
        <v>7361.08</v>
      </c>
      <c r="D122" s="409" t="s">
        <v>1197</v>
      </c>
    </row>
    <row r="123" spans="1:4" ht="36.75" customHeight="1">
      <c r="A123" s="399">
        <v>9.6</v>
      </c>
      <c r="B123" s="400" t="s">
        <v>1573</v>
      </c>
      <c r="C123" s="411"/>
      <c r="D123" s="402"/>
    </row>
    <row r="124" spans="1:4" ht="36.75" customHeight="1">
      <c r="A124" s="399"/>
      <c r="B124" s="400" t="s">
        <v>202</v>
      </c>
      <c r="C124" s="411"/>
      <c r="D124" s="402" t="s">
        <v>1197</v>
      </c>
    </row>
    <row r="125" spans="1:4" ht="36.75" customHeight="1">
      <c r="A125" s="399"/>
      <c r="B125" s="400" t="s">
        <v>203</v>
      </c>
      <c r="C125" s="411"/>
      <c r="D125" s="402" t="s">
        <v>1197</v>
      </c>
    </row>
    <row r="126" spans="1:4" ht="36.75" customHeight="1">
      <c r="A126" s="399"/>
      <c r="B126" s="400" t="s">
        <v>204</v>
      </c>
      <c r="C126" s="411"/>
      <c r="D126" s="402" t="s">
        <v>1197</v>
      </c>
    </row>
    <row r="127" spans="1:4" ht="36.75" customHeight="1">
      <c r="A127" s="399"/>
      <c r="B127" s="400" t="s">
        <v>205</v>
      </c>
      <c r="C127" s="411"/>
      <c r="D127" s="402" t="s">
        <v>1197</v>
      </c>
    </row>
    <row r="128" spans="1:4" ht="36.75" customHeight="1">
      <c r="A128" s="417"/>
      <c r="B128" s="400" t="s">
        <v>606</v>
      </c>
      <c r="C128" s="411"/>
      <c r="D128" s="402" t="s">
        <v>1197</v>
      </c>
    </row>
    <row r="129" spans="1:4" ht="36.75" customHeight="1">
      <c r="A129" s="399">
        <v>10.1</v>
      </c>
      <c r="B129" s="414" t="s">
        <v>6167</v>
      </c>
      <c r="C129" s="411"/>
      <c r="D129" s="402"/>
    </row>
    <row r="130" spans="1:4" ht="36.75" customHeight="1">
      <c r="A130" s="399"/>
      <c r="B130" s="400" t="s">
        <v>544</v>
      </c>
      <c r="C130" s="411">
        <f>ROUND(Data!X401,2)</f>
        <v>848.39</v>
      </c>
      <c r="D130" s="402" t="s">
        <v>1842</v>
      </c>
    </row>
    <row r="131" spans="1:4" ht="36.75" customHeight="1">
      <c r="A131" s="399"/>
      <c r="B131" s="400" t="s">
        <v>545</v>
      </c>
      <c r="C131" s="411">
        <f>ROUND(Data!X403,2)</f>
        <v>857.23</v>
      </c>
      <c r="D131" s="402" t="s">
        <v>1842</v>
      </c>
    </row>
    <row r="132" spans="1:4" ht="36.75" customHeight="1">
      <c r="A132" s="399"/>
      <c r="B132" s="400" t="s">
        <v>547</v>
      </c>
      <c r="C132" s="411">
        <f>ROUND(Data!X404,2)</f>
        <v>875.06</v>
      </c>
      <c r="D132" s="402" t="s">
        <v>1842</v>
      </c>
    </row>
    <row r="133" spans="1:4" ht="36.75" customHeight="1">
      <c r="A133" s="399"/>
      <c r="B133" s="400" t="s">
        <v>1806</v>
      </c>
      <c r="C133" s="411">
        <f>ROUND(Data!X405,2)</f>
        <v>892.89</v>
      </c>
      <c r="D133" s="402" t="s">
        <v>1842</v>
      </c>
    </row>
    <row r="134" spans="1:4" ht="36.75" customHeight="1">
      <c r="A134" s="399"/>
      <c r="B134" s="400" t="s">
        <v>2215</v>
      </c>
      <c r="C134" s="411">
        <f>ROUND(Data!X406,2)</f>
        <v>910.72</v>
      </c>
      <c r="D134" s="402" t="s">
        <v>1842</v>
      </c>
    </row>
    <row r="135" spans="1:4" ht="36.75" customHeight="1">
      <c r="A135" s="417"/>
      <c r="B135" s="400" t="s">
        <v>1064</v>
      </c>
      <c r="C135" s="411">
        <f>ROUND(Data!X407,2)</f>
        <v>928.55</v>
      </c>
      <c r="D135" s="402" t="s">
        <v>1842</v>
      </c>
    </row>
    <row r="136" spans="1:4" ht="36.75" customHeight="1">
      <c r="A136" s="399">
        <v>10.199999999999999</v>
      </c>
      <c r="B136" s="414" t="s">
        <v>6168</v>
      </c>
      <c r="C136" s="411"/>
      <c r="D136" s="402"/>
    </row>
    <row r="137" spans="1:4" ht="36.75" customHeight="1">
      <c r="A137" s="399"/>
      <c r="B137" s="400" t="s">
        <v>544</v>
      </c>
      <c r="C137" s="411">
        <f>ROUND(Data!AG410,2)</f>
        <v>828.44</v>
      </c>
      <c r="D137" s="402" t="s">
        <v>1842</v>
      </c>
    </row>
    <row r="138" spans="1:4" ht="36.75" customHeight="1">
      <c r="A138" s="399"/>
      <c r="B138" s="400" t="s">
        <v>3794</v>
      </c>
      <c r="C138" s="411">
        <f>ROUND(Data!AG412,2)</f>
        <v>837.43</v>
      </c>
      <c r="D138" s="402" t="s">
        <v>1842</v>
      </c>
    </row>
    <row r="139" spans="1:4" ht="36.75" customHeight="1">
      <c r="A139" s="399"/>
      <c r="B139" s="400" t="s">
        <v>547</v>
      </c>
      <c r="C139" s="411">
        <f>ROUND(Data!AG413,2)</f>
        <v>855.58</v>
      </c>
      <c r="D139" s="402" t="s">
        <v>1842</v>
      </c>
    </row>
    <row r="140" spans="1:4" ht="36.75" customHeight="1">
      <c r="A140" s="399"/>
      <c r="B140" s="400" t="s">
        <v>1806</v>
      </c>
      <c r="C140" s="411">
        <f>ROUND(Data!AG414,2)</f>
        <v>873.73</v>
      </c>
      <c r="D140" s="402" t="s">
        <v>1842</v>
      </c>
    </row>
    <row r="141" spans="1:4" ht="36.75" customHeight="1">
      <c r="A141" s="399"/>
      <c r="B141" s="400" t="s">
        <v>2215</v>
      </c>
      <c r="C141" s="411">
        <f>ROUND(Data!AG415,2)</f>
        <v>891.88</v>
      </c>
      <c r="D141" s="402" t="s">
        <v>1842</v>
      </c>
    </row>
    <row r="142" spans="1:4" ht="36.75" customHeight="1">
      <c r="A142" s="417"/>
      <c r="B142" s="400" t="s">
        <v>1064</v>
      </c>
      <c r="C142" s="411">
        <f>ROUND(Data!AG416,2)</f>
        <v>910.03</v>
      </c>
      <c r="D142" s="402" t="s">
        <v>1842</v>
      </c>
    </row>
    <row r="143" spans="1:4" ht="36.75" customHeight="1">
      <c r="A143" s="417"/>
      <c r="B143" s="400" t="s">
        <v>3771</v>
      </c>
      <c r="C143" s="411">
        <f>ROUND(Data!AG417,2)</f>
        <v>928.18</v>
      </c>
      <c r="D143" s="402" t="s">
        <v>1842</v>
      </c>
    </row>
    <row r="144" spans="1:4" ht="36.75" customHeight="1">
      <c r="A144" s="417"/>
      <c r="B144" s="400" t="s">
        <v>3772</v>
      </c>
      <c r="C144" s="411">
        <f>ROUND(Data!AG418,2)</f>
        <v>946.33</v>
      </c>
      <c r="D144" s="402" t="s">
        <v>1842</v>
      </c>
    </row>
    <row r="145" spans="1:4" ht="36.75" customHeight="1">
      <c r="A145" s="417"/>
      <c r="B145" s="400" t="s">
        <v>3773</v>
      </c>
      <c r="C145" s="411">
        <f>ROUND(Data!AG419,2)</f>
        <v>964.48</v>
      </c>
      <c r="D145" s="402" t="s">
        <v>1842</v>
      </c>
    </row>
    <row r="146" spans="1:4" ht="36.75" customHeight="1">
      <c r="A146" s="417"/>
      <c r="B146" s="400" t="s">
        <v>3774</v>
      </c>
      <c r="C146" s="411">
        <f>ROUND(Data!AG420,2)</f>
        <v>982.63</v>
      </c>
      <c r="D146" s="402" t="s">
        <v>1842</v>
      </c>
    </row>
    <row r="147" spans="1:4" ht="36.75" customHeight="1">
      <c r="A147" s="417"/>
      <c r="B147" s="400" t="s">
        <v>3775</v>
      </c>
      <c r="C147" s="411">
        <f>ROUND(Data!AG421,2)</f>
        <v>1000.78</v>
      </c>
      <c r="D147" s="402" t="s">
        <v>1842</v>
      </c>
    </row>
    <row r="148" spans="1:4" ht="36.75" customHeight="1">
      <c r="A148" s="417"/>
      <c r="B148" s="400" t="s">
        <v>3776</v>
      </c>
      <c r="C148" s="411">
        <f>ROUND(Data!AG422,2)</f>
        <v>1018.93</v>
      </c>
      <c r="D148" s="402" t="s">
        <v>1842</v>
      </c>
    </row>
    <row r="149" spans="1:4" ht="36.75" customHeight="1">
      <c r="A149" s="417"/>
      <c r="B149" s="400" t="s">
        <v>3777</v>
      </c>
      <c r="C149" s="411">
        <f>ROUND(Data!AG423,2)</f>
        <v>1037.08</v>
      </c>
      <c r="D149" s="402" t="s">
        <v>1842</v>
      </c>
    </row>
    <row r="150" spans="1:4" ht="36.75" customHeight="1">
      <c r="A150" s="417"/>
      <c r="B150" s="400" t="s">
        <v>3778</v>
      </c>
      <c r="C150" s="411">
        <f>Data!AI423</f>
        <v>1055.23</v>
      </c>
      <c r="D150" s="402" t="s">
        <v>1842</v>
      </c>
    </row>
    <row r="151" spans="1:4" ht="36.75" customHeight="1">
      <c r="A151" s="417"/>
      <c r="B151" s="400" t="s">
        <v>3783</v>
      </c>
      <c r="C151" s="411">
        <f>Data!AI424</f>
        <v>1073.3800000000001</v>
      </c>
      <c r="D151" s="402" t="s">
        <v>1842</v>
      </c>
    </row>
    <row r="152" spans="1:4" ht="36.75" customHeight="1">
      <c r="A152" s="399">
        <v>10.3</v>
      </c>
      <c r="B152" s="414" t="s">
        <v>6169</v>
      </c>
      <c r="C152" s="411"/>
      <c r="D152" s="402"/>
    </row>
    <row r="153" spans="1:4" ht="36.75" customHeight="1">
      <c r="A153" s="399"/>
      <c r="B153" s="400" t="s">
        <v>544</v>
      </c>
      <c r="C153" s="411"/>
      <c r="D153" s="402" t="s">
        <v>1842</v>
      </c>
    </row>
    <row r="154" spans="1:4" ht="36.75" customHeight="1">
      <c r="A154" s="399"/>
      <c r="B154" s="400" t="s">
        <v>545</v>
      </c>
      <c r="C154" s="411"/>
      <c r="D154" s="402" t="s">
        <v>1842</v>
      </c>
    </row>
    <row r="155" spans="1:4" ht="36.75" customHeight="1">
      <c r="A155" s="399"/>
      <c r="B155" s="400" t="s">
        <v>547</v>
      </c>
      <c r="C155" s="411"/>
      <c r="D155" s="402" t="s">
        <v>1842</v>
      </c>
    </row>
    <row r="156" spans="1:4" ht="36.75" customHeight="1">
      <c r="A156" s="399"/>
      <c r="B156" s="400" t="s">
        <v>1806</v>
      </c>
      <c r="C156" s="411"/>
      <c r="D156" s="402" t="s">
        <v>1842</v>
      </c>
    </row>
    <row r="157" spans="1:4" ht="36.75" customHeight="1">
      <c r="A157" s="399"/>
      <c r="B157" s="400" t="s">
        <v>2215</v>
      </c>
      <c r="C157" s="411"/>
      <c r="D157" s="402" t="s">
        <v>1842</v>
      </c>
    </row>
    <row r="158" spans="1:4" ht="36.75" customHeight="1">
      <c r="A158" s="417"/>
      <c r="B158" s="400" t="s">
        <v>1064</v>
      </c>
      <c r="C158" s="411"/>
      <c r="D158" s="402" t="s">
        <v>1842</v>
      </c>
    </row>
    <row r="159" spans="1:4" ht="36.75" customHeight="1">
      <c r="A159" s="399">
        <v>10.4</v>
      </c>
      <c r="B159" s="414" t="s">
        <v>6170</v>
      </c>
      <c r="C159" s="411"/>
      <c r="D159" s="402"/>
    </row>
    <row r="160" spans="1:4" ht="36.75" customHeight="1">
      <c r="A160" s="399"/>
      <c r="B160" s="400" t="s">
        <v>544</v>
      </c>
      <c r="C160" s="411"/>
      <c r="D160" s="402" t="s">
        <v>1842</v>
      </c>
    </row>
    <row r="161" spans="1:4" ht="36.75" customHeight="1">
      <c r="A161" s="399"/>
      <c r="B161" s="400" t="s">
        <v>545</v>
      </c>
      <c r="C161" s="411"/>
      <c r="D161" s="402" t="s">
        <v>1842</v>
      </c>
    </row>
    <row r="162" spans="1:4" ht="36.75" customHeight="1">
      <c r="A162" s="399"/>
      <c r="B162" s="400" t="s">
        <v>547</v>
      </c>
      <c r="C162" s="411"/>
      <c r="D162" s="402" t="s">
        <v>1842</v>
      </c>
    </row>
    <row r="163" spans="1:4" ht="36.75" customHeight="1">
      <c r="A163" s="399"/>
      <c r="B163" s="400" t="s">
        <v>1806</v>
      </c>
      <c r="C163" s="411"/>
      <c r="D163" s="402" t="s">
        <v>1842</v>
      </c>
    </row>
    <row r="164" spans="1:4" ht="36.75" customHeight="1">
      <c r="A164" s="399"/>
      <c r="B164" s="400" t="s">
        <v>2215</v>
      </c>
      <c r="C164" s="411"/>
      <c r="D164" s="402" t="s">
        <v>1842</v>
      </c>
    </row>
    <row r="165" spans="1:4" ht="36.75" customHeight="1">
      <c r="A165" s="417"/>
      <c r="B165" s="400" t="s">
        <v>1064</v>
      </c>
      <c r="C165" s="411"/>
      <c r="D165" s="402" t="s">
        <v>1842</v>
      </c>
    </row>
    <row r="166" spans="1:4" s="410" customFormat="1" ht="36.75" customHeight="1">
      <c r="A166" s="406">
        <v>10.5</v>
      </c>
      <c r="B166" s="415" t="s">
        <v>6171</v>
      </c>
      <c r="C166" s="408"/>
      <c r="D166" s="409"/>
    </row>
    <row r="167" spans="1:4" s="410" customFormat="1" ht="36.75" customHeight="1">
      <c r="A167" s="406"/>
      <c r="B167" s="407" t="s">
        <v>544</v>
      </c>
      <c r="C167" s="408">
        <f>ROUND(Data!K401,2)</f>
        <v>809.72</v>
      </c>
      <c r="D167" s="409" t="s">
        <v>1842</v>
      </c>
    </row>
    <row r="168" spans="1:4" s="410" customFormat="1" ht="36.75" customHeight="1">
      <c r="A168" s="406"/>
      <c r="B168" s="407" t="s">
        <v>545</v>
      </c>
      <c r="C168" s="408">
        <f>ROUND(Data!K403,2)</f>
        <v>818.4</v>
      </c>
      <c r="D168" s="409" t="s">
        <v>1842</v>
      </c>
    </row>
    <row r="169" spans="1:4" s="410" customFormat="1" ht="36.75" customHeight="1">
      <c r="A169" s="406"/>
      <c r="B169" s="407" t="s">
        <v>547</v>
      </c>
      <c r="C169" s="408">
        <f>ROUND(Data!K404,2)</f>
        <v>835.91</v>
      </c>
      <c r="D169" s="409" t="s">
        <v>1842</v>
      </c>
    </row>
    <row r="170" spans="1:4" s="410" customFormat="1" ht="36.75" customHeight="1">
      <c r="A170" s="406"/>
      <c r="B170" s="407" t="s">
        <v>1806</v>
      </c>
      <c r="C170" s="408">
        <f>ROUND(Data!K405,2)</f>
        <v>853.42</v>
      </c>
      <c r="D170" s="409" t="s">
        <v>1842</v>
      </c>
    </row>
    <row r="171" spans="1:4" s="410" customFormat="1" ht="36.75" customHeight="1">
      <c r="A171" s="406"/>
      <c r="B171" s="407" t="s">
        <v>2215</v>
      </c>
      <c r="C171" s="408">
        <f>ROUND(Data!K406,2)</f>
        <v>870.93</v>
      </c>
      <c r="D171" s="409" t="s">
        <v>1842</v>
      </c>
    </row>
    <row r="172" spans="1:4" ht="36.75" customHeight="1">
      <c r="A172" s="416"/>
      <c r="B172" s="400" t="s">
        <v>1064</v>
      </c>
      <c r="C172" s="404">
        <f>ROUND(Data!K407,2)</f>
        <v>888.44</v>
      </c>
      <c r="D172" s="402" t="s">
        <v>1842</v>
      </c>
    </row>
    <row r="173" spans="1:4" ht="59.25" customHeight="1">
      <c r="A173" s="399">
        <v>10.6</v>
      </c>
      <c r="B173" s="414" t="s">
        <v>6172</v>
      </c>
      <c r="C173" s="411"/>
      <c r="D173" s="402"/>
    </row>
    <row r="174" spans="1:4" ht="36.75" customHeight="1">
      <c r="A174" s="399"/>
      <c r="B174" s="400" t="s">
        <v>544</v>
      </c>
      <c r="C174" s="411"/>
      <c r="D174" s="402" t="s">
        <v>1842</v>
      </c>
    </row>
    <row r="175" spans="1:4" ht="36.75" customHeight="1">
      <c r="A175" s="399"/>
      <c r="B175" s="400" t="s">
        <v>545</v>
      </c>
      <c r="C175" s="411"/>
      <c r="D175" s="402" t="s">
        <v>1842</v>
      </c>
    </row>
    <row r="176" spans="1:4" ht="36.75" customHeight="1">
      <c r="A176" s="399"/>
      <c r="B176" s="400" t="s">
        <v>547</v>
      </c>
      <c r="C176" s="411"/>
      <c r="D176" s="402" t="s">
        <v>1842</v>
      </c>
    </row>
    <row r="177" spans="1:4" ht="36.75" customHeight="1">
      <c r="A177" s="399"/>
      <c r="B177" s="400" t="s">
        <v>1806</v>
      </c>
      <c r="C177" s="411"/>
      <c r="D177" s="402" t="s">
        <v>1842</v>
      </c>
    </row>
    <row r="178" spans="1:4" ht="36.75" customHeight="1">
      <c r="A178" s="399"/>
      <c r="B178" s="400" t="s">
        <v>2215</v>
      </c>
      <c r="C178" s="411"/>
      <c r="D178" s="402" t="s">
        <v>1842</v>
      </c>
    </row>
    <row r="179" spans="1:4" ht="36.75" customHeight="1">
      <c r="A179" s="417"/>
      <c r="B179" s="400" t="s">
        <v>1064</v>
      </c>
      <c r="C179" s="411"/>
      <c r="D179" s="402" t="s">
        <v>1842</v>
      </c>
    </row>
    <row r="180" spans="1:4" ht="36.75" customHeight="1">
      <c r="A180" s="399">
        <v>11.1</v>
      </c>
      <c r="B180" s="414" t="s">
        <v>6173</v>
      </c>
      <c r="C180" s="411"/>
      <c r="D180" s="402"/>
    </row>
    <row r="181" spans="1:4" ht="36.75" customHeight="1">
      <c r="A181" s="399"/>
      <c r="B181" s="400" t="s">
        <v>202</v>
      </c>
      <c r="C181" s="411">
        <f>ROUND(Data!X435,2)</f>
        <v>573.23</v>
      </c>
      <c r="D181" s="402" t="s">
        <v>1842</v>
      </c>
    </row>
    <row r="182" spans="1:4" ht="36.75" customHeight="1">
      <c r="A182" s="399"/>
      <c r="B182" s="400" t="s">
        <v>203</v>
      </c>
      <c r="C182" s="411">
        <f>ROUND(Data!X436,2)</f>
        <v>584.37</v>
      </c>
      <c r="D182" s="402" t="s">
        <v>1842</v>
      </c>
    </row>
    <row r="183" spans="1:4" ht="36.75" customHeight="1">
      <c r="A183" s="399"/>
      <c r="B183" s="400" t="s">
        <v>204</v>
      </c>
      <c r="C183" s="411">
        <f>ROUND(Data!X437,2)</f>
        <v>595.51</v>
      </c>
      <c r="D183" s="402" t="s">
        <v>1842</v>
      </c>
    </row>
    <row r="184" spans="1:4" ht="36.75" customHeight="1">
      <c r="A184" s="399"/>
      <c r="B184" s="400" t="s">
        <v>205</v>
      </c>
      <c r="C184" s="411">
        <f>ROUND(Data!X438,2)</f>
        <v>606.65</v>
      </c>
      <c r="D184" s="402" t="s">
        <v>1842</v>
      </c>
    </row>
    <row r="185" spans="1:4" ht="36.75" customHeight="1">
      <c r="A185" s="417"/>
      <c r="B185" s="400" t="s">
        <v>606</v>
      </c>
      <c r="C185" s="411">
        <f>ROUND(Data!X439,2)</f>
        <v>617.79</v>
      </c>
      <c r="D185" s="402" t="s">
        <v>1842</v>
      </c>
    </row>
    <row r="186" spans="1:4" ht="36.75" customHeight="1">
      <c r="A186" s="399">
        <v>11.2</v>
      </c>
      <c r="B186" s="414" t="s">
        <v>6174</v>
      </c>
      <c r="C186" s="411"/>
      <c r="D186" s="402"/>
    </row>
    <row r="187" spans="1:4" ht="36.75" customHeight="1">
      <c r="A187" s="399"/>
      <c r="B187" s="400" t="s">
        <v>202</v>
      </c>
      <c r="C187" s="411">
        <f>ROUND(Data!AG449,2)</f>
        <v>585.12</v>
      </c>
      <c r="D187" s="402" t="s">
        <v>1842</v>
      </c>
    </row>
    <row r="188" spans="1:4" ht="36.75" customHeight="1">
      <c r="A188" s="399"/>
      <c r="B188" s="400" t="s">
        <v>203</v>
      </c>
      <c r="C188" s="411">
        <f>ROUND(Data!AG450,2)</f>
        <v>597.05999999999995</v>
      </c>
      <c r="D188" s="402" t="s">
        <v>1842</v>
      </c>
    </row>
    <row r="189" spans="1:4" ht="36.75" customHeight="1">
      <c r="A189" s="399"/>
      <c r="B189" s="400" t="s">
        <v>204</v>
      </c>
      <c r="C189" s="411">
        <f>ROUND(Data!AG451,2)</f>
        <v>609</v>
      </c>
      <c r="D189" s="402" t="s">
        <v>1842</v>
      </c>
    </row>
    <row r="190" spans="1:4" ht="36.75" customHeight="1">
      <c r="A190" s="399"/>
      <c r="B190" s="400" t="s">
        <v>205</v>
      </c>
      <c r="C190" s="411">
        <f>ROUND(Data!AG452,2)</f>
        <v>620.94000000000005</v>
      </c>
      <c r="D190" s="402" t="s">
        <v>1842</v>
      </c>
    </row>
    <row r="191" spans="1:4" ht="36.75" customHeight="1">
      <c r="A191" s="417"/>
      <c r="B191" s="400" t="s">
        <v>606</v>
      </c>
      <c r="C191" s="411">
        <f>ROUND(Data!AG453,2)</f>
        <v>632.88</v>
      </c>
      <c r="D191" s="402" t="s">
        <v>1842</v>
      </c>
    </row>
    <row r="192" spans="1:4" ht="36.75" customHeight="1">
      <c r="A192" s="399">
        <v>11.3</v>
      </c>
      <c r="B192" s="414" t="s">
        <v>6175</v>
      </c>
      <c r="C192" s="411"/>
      <c r="D192" s="402"/>
    </row>
    <row r="193" spans="1:4" ht="36.75" customHeight="1">
      <c r="A193" s="399"/>
      <c r="B193" s="400" t="s">
        <v>202</v>
      </c>
      <c r="C193" s="411"/>
      <c r="D193" s="402" t="s">
        <v>1842</v>
      </c>
    </row>
    <row r="194" spans="1:4" ht="36.75" customHeight="1">
      <c r="A194" s="399"/>
      <c r="B194" s="400" t="s">
        <v>203</v>
      </c>
      <c r="C194" s="411"/>
      <c r="D194" s="402" t="s">
        <v>1842</v>
      </c>
    </row>
    <row r="195" spans="1:4" ht="36.75" customHeight="1">
      <c r="A195" s="399"/>
      <c r="B195" s="400" t="s">
        <v>204</v>
      </c>
      <c r="C195" s="411"/>
      <c r="D195" s="402" t="s">
        <v>1842</v>
      </c>
    </row>
    <row r="196" spans="1:4" ht="36.75" customHeight="1">
      <c r="A196" s="399"/>
      <c r="B196" s="400" t="s">
        <v>205</v>
      </c>
      <c r="C196" s="411"/>
      <c r="D196" s="402" t="s">
        <v>1842</v>
      </c>
    </row>
    <row r="197" spans="1:4" ht="36.75" customHeight="1">
      <c r="A197" s="417"/>
      <c r="B197" s="400" t="s">
        <v>606</v>
      </c>
      <c r="C197" s="411"/>
      <c r="D197" s="402" t="s">
        <v>1842</v>
      </c>
    </row>
    <row r="198" spans="1:4" ht="36.75" customHeight="1">
      <c r="A198" s="399">
        <v>11.4</v>
      </c>
      <c r="B198" s="414" t="s">
        <v>6176</v>
      </c>
      <c r="C198" s="411"/>
      <c r="D198" s="402"/>
    </row>
    <row r="199" spans="1:4" ht="36.75" customHeight="1">
      <c r="A199" s="400"/>
      <c r="B199" s="400" t="s">
        <v>202</v>
      </c>
      <c r="C199" s="411"/>
      <c r="D199" s="402" t="s">
        <v>1842</v>
      </c>
    </row>
    <row r="200" spans="1:4" ht="36.75" customHeight="1">
      <c r="A200" s="400"/>
      <c r="B200" s="400" t="s">
        <v>203</v>
      </c>
      <c r="C200" s="411"/>
      <c r="D200" s="402" t="s">
        <v>1842</v>
      </c>
    </row>
    <row r="201" spans="1:4" ht="36.75" customHeight="1">
      <c r="A201" s="400"/>
      <c r="B201" s="400" t="s">
        <v>204</v>
      </c>
      <c r="C201" s="411"/>
      <c r="D201" s="402" t="s">
        <v>1842</v>
      </c>
    </row>
    <row r="202" spans="1:4" ht="36.75" customHeight="1">
      <c r="A202" s="400"/>
      <c r="B202" s="400" t="s">
        <v>205</v>
      </c>
      <c r="C202" s="411"/>
      <c r="D202" s="402" t="s">
        <v>1842</v>
      </c>
    </row>
    <row r="203" spans="1:4" ht="36.75" customHeight="1">
      <c r="A203" s="419"/>
      <c r="B203" s="400" t="s">
        <v>606</v>
      </c>
      <c r="C203" s="411"/>
      <c r="D203" s="402" t="s">
        <v>1842</v>
      </c>
    </row>
    <row r="204" spans="1:4" s="410" customFormat="1" ht="36.75" customHeight="1">
      <c r="A204" s="420">
        <v>11.5</v>
      </c>
      <c r="B204" s="415" t="s">
        <v>6177</v>
      </c>
      <c r="C204" s="408"/>
      <c r="D204" s="409"/>
    </row>
    <row r="205" spans="1:4" s="410" customFormat="1" ht="36.75" customHeight="1">
      <c r="A205" s="420"/>
      <c r="B205" s="407" t="s">
        <v>202</v>
      </c>
      <c r="C205" s="408">
        <f>ROUND(Data!K435,2)</f>
        <v>557.12</v>
      </c>
      <c r="D205" s="409" t="s">
        <v>1842</v>
      </c>
    </row>
    <row r="206" spans="1:4" s="410" customFormat="1" ht="36.75" customHeight="1">
      <c r="A206" s="420"/>
      <c r="B206" s="407" t="s">
        <v>203</v>
      </c>
      <c r="C206" s="408">
        <f>ROUND(Data!K436,2)</f>
        <v>568.26</v>
      </c>
      <c r="D206" s="409" t="s">
        <v>1842</v>
      </c>
    </row>
    <row r="207" spans="1:4" s="410" customFormat="1" ht="36.75" customHeight="1">
      <c r="A207" s="420"/>
      <c r="B207" s="407" t="s">
        <v>204</v>
      </c>
      <c r="C207" s="408">
        <f>ROUND(Data!K437,2)</f>
        <v>579.4</v>
      </c>
      <c r="D207" s="409" t="s">
        <v>1842</v>
      </c>
    </row>
    <row r="208" spans="1:4" s="410" customFormat="1" ht="36.75" customHeight="1">
      <c r="A208" s="420"/>
      <c r="B208" s="407" t="s">
        <v>205</v>
      </c>
      <c r="C208" s="408">
        <f>ROUND(Data!K438,2)</f>
        <v>590.54</v>
      </c>
      <c r="D208" s="409" t="s">
        <v>1842</v>
      </c>
    </row>
    <row r="209" spans="1:4" ht="36.75" customHeight="1">
      <c r="A209" s="421"/>
      <c r="B209" s="400" t="s">
        <v>606</v>
      </c>
      <c r="C209" s="411">
        <f>ROUND(Data!K439,2)</f>
        <v>601.67999999999995</v>
      </c>
      <c r="D209" s="402" t="s">
        <v>1842</v>
      </c>
    </row>
    <row r="210" spans="1:4" ht="36.75" customHeight="1">
      <c r="A210" s="422">
        <v>11.6</v>
      </c>
      <c r="B210" s="414" t="s">
        <v>6178</v>
      </c>
      <c r="C210" s="411"/>
      <c r="D210" s="402"/>
    </row>
    <row r="211" spans="1:4" ht="36.75" customHeight="1">
      <c r="A211" s="422"/>
      <c r="B211" s="400" t="s">
        <v>202</v>
      </c>
      <c r="C211" s="411"/>
      <c r="D211" s="402" t="s">
        <v>1842</v>
      </c>
    </row>
    <row r="212" spans="1:4" ht="36.75" customHeight="1">
      <c r="A212" s="422"/>
      <c r="B212" s="400" t="s">
        <v>203</v>
      </c>
      <c r="C212" s="411"/>
      <c r="D212" s="402" t="s">
        <v>1842</v>
      </c>
    </row>
    <row r="213" spans="1:4" ht="36.75" customHeight="1">
      <c r="A213" s="422"/>
      <c r="B213" s="400" t="s">
        <v>204</v>
      </c>
      <c r="C213" s="411"/>
      <c r="D213" s="402" t="s">
        <v>1842</v>
      </c>
    </row>
    <row r="214" spans="1:4" ht="36.75" customHeight="1">
      <c r="A214" s="422"/>
      <c r="B214" s="400" t="s">
        <v>205</v>
      </c>
      <c r="C214" s="411"/>
      <c r="D214" s="402" t="s">
        <v>1842</v>
      </c>
    </row>
    <row r="215" spans="1:4" ht="36.75" customHeight="1">
      <c r="A215" s="421"/>
      <c r="B215" s="400" t="s">
        <v>606</v>
      </c>
      <c r="C215" s="411"/>
      <c r="D215" s="402" t="s">
        <v>1842</v>
      </c>
    </row>
    <row r="216" spans="1:4" ht="36.75" customHeight="1">
      <c r="A216" s="399">
        <v>12.1</v>
      </c>
      <c r="B216" s="414" t="s">
        <v>4346</v>
      </c>
      <c r="C216" s="404"/>
      <c r="D216" s="423"/>
    </row>
    <row r="217" spans="1:4" s="413" customFormat="1" ht="36.75" customHeight="1">
      <c r="A217" s="400"/>
      <c r="B217" s="400" t="s">
        <v>202</v>
      </c>
      <c r="C217" s="404">
        <f>ROUND(Data!K468,2)</f>
        <v>403.58</v>
      </c>
      <c r="D217" s="402" t="s">
        <v>1842</v>
      </c>
    </row>
    <row r="218" spans="1:4" s="413" customFormat="1" ht="36.75" customHeight="1">
      <c r="A218" s="400"/>
      <c r="B218" s="400" t="s">
        <v>203</v>
      </c>
      <c r="C218" s="404">
        <f>ROUND(Data!K469,2)</f>
        <v>411.54</v>
      </c>
      <c r="D218" s="402" t="s">
        <v>1842</v>
      </c>
    </row>
    <row r="219" spans="1:4" s="424" customFormat="1" ht="36.75" customHeight="1">
      <c r="A219" s="407"/>
      <c r="B219" s="407" t="s">
        <v>204</v>
      </c>
      <c r="C219" s="408">
        <f>ROUND(Data!K470,2)</f>
        <v>419.5</v>
      </c>
      <c r="D219" s="409" t="s">
        <v>1842</v>
      </c>
    </row>
    <row r="220" spans="1:4" s="424" customFormat="1" ht="36.75" customHeight="1">
      <c r="A220" s="407"/>
      <c r="B220" s="407" t="s">
        <v>205</v>
      </c>
      <c r="C220" s="408">
        <f>ROUND(Data!K471,2)</f>
        <v>427.46</v>
      </c>
      <c r="D220" s="409" t="s">
        <v>1842</v>
      </c>
    </row>
    <row r="221" spans="1:4" ht="36.75" customHeight="1">
      <c r="A221" s="419"/>
      <c r="B221" s="400" t="s">
        <v>606</v>
      </c>
      <c r="C221" s="411">
        <f>ROUND(Data!K472,2)</f>
        <v>435.42</v>
      </c>
      <c r="D221" s="402" t="s">
        <v>1842</v>
      </c>
    </row>
    <row r="222" spans="1:4" ht="36.75" customHeight="1">
      <c r="A222" s="399">
        <v>12.2</v>
      </c>
      <c r="B222" s="400" t="s">
        <v>1803</v>
      </c>
      <c r="C222" s="411"/>
      <c r="D222" s="423"/>
    </row>
    <row r="223" spans="1:4" ht="36.75" customHeight="1">
      <c r="A223" s="400"/>
      <c r="B223" s="400" t="s">
        <v>202</v>
      </c>
      <c r="C223" s="411"/>
      <c r="D223" s="402" t="s">
        <v>1842</v>
      </c>
    </row>
    <row r="224" spans="1:4" ht="36.75" customHeight="1">
      <c r="A224" s="400"/>
      <c r="B224" s="400" t="s">
        <v>203</v>
      </c>
      <c r="C224" s="411"/>
      <c r="D224" s="402" t="s">
        <v>1842</v>
      </c>
    </row>
    <row r="225" spans="1:4" ht="36.75" customHeight="1">
      <c r="A225" s="400"/>
      <c r="B225" s="400" t="s">
        <v>204</v>
      </c>
      <c r="C225" s="411"/>
      <c r="D225" s="402" t="s">
        <v>1842</v>
      </c>
    </row>
    <row r="226" spans="1:4" ht="36.75" customHeight="1">
      <c r="A226" s="400"/>
      <c r="B226" s="400" t="s">
        <v>205</v>
      </c>
      <c r="C226" s="411"/>
      <c r="D226" s="402" t="s">
        <v>1842</v>
      </c>
    </row>
    <row r="227" spans="1:4" ht="36.75" customHeight="1">
      <c r="A227" s="419"/>
      <c r="B227" s="400" t="s">
        <v>606</v>
      </c>
      <c r="C227" s="411"/>
      <c r="D227" s="402" t="s">
        <v>1842</v>
      </c>
    </row>
    <row r="228" spans="1:4" ht="36.75" customHeight="1">
      <c r="A228" s="419"/>
      <c r="B228" s="400"/>
      <c r="C228" s="411"/>
      <c r="D228" s="402"/>
    </row>
    <row r="229" spans="1:4" s="428" customFormat="1" ht="36.75" customHeight="1">
      <c r="A229" s="425">
        <v>13.1</v>
      </c>
      <c r="B229" s="426" t="s">
        <v>1063</v>
      </c>
      <c r="C229" s="403">
        <f>ROUND(Data!K483,2)</f>
        <v>38.950000000000003</v>
      </c>
      <c r="D229" s="427" t="s">
        <v>1197</v>
      </c>
    </row>
    <row r="230" spans="1:4" ht="36.75" customHeight="1">
      <c r="A230" s="425">
        <v>13.2</v>
      </c>
      <c r="B230" s="426" t="s">
        <v>1720</v>
      </c>
      <c r="C230" s="429"/>
      <c r="D230" s="427" t="s">
        <v>1197</v>
      </c>
    </row>
    <row r="231" spans="1:4" s="413" customFormat="1" ht="36.75" customHeight="1">
      <c r="A231" s="430" t="s">
        <v>995</v>
      </c>
      <c r="B231" s="431" t="s">
        <v>88</v>
      </c>
      <c r="C231" s="403"/>
      <c r="D231" s="427"/>
    </row>
    <row r="232" spans="1:4" s="413" customFormat="1" ht="36.75" customHeight="1">
      <c r="A232" s="426"/>
      <c r="B232" s="426" t="s">
        <v>1252</v>
      </c>
      <c r="C232" s="403">
        <f>ROUND(Data!K536,2)</f>
        <v>1478.33</v>
      </c>
      <c r="D232" s="427" t="s">
        <v>1842</v>
      </c>
    </row>
    <row r="233" spans="1:4" s="413" customFormat="1" ht="36.75" customHeight="1">
      <c r="A233" s="400"/>
      <c r="B233" s="400" t="s">
        <v>1386</v>
      </c>
      <c r="C233" s="404">
        <f>ROUND(Data!K537,2)</f>
        <v>1483.1</v>
      </c>
      <c r="D233" s="402" t="s">
        <v>1842</v>
      </c>
    </row>
    <row r="234" spans="1:4" s="413" customFormat="1" ht="36.75" customHeight="1">
      <c r="A234" s="400"/>
      <c r="B234" s="400" t="s">
        <v>1434</v>
      </c>
      <c r="C234" s="404">
        <f>ROUND(Data!K538,2)</f>
        <v>1487.87</v>
      </c>
      <c r="D234" s="402" t="s">
        <v>1842</v>
      </c>
    </row>
    <row r="235" spans="1:4" s="413" customFormat="1" ht="36.75" customHeight="1">
      <c r="A235" s="400"/>
      <c r="B235" s="400" t="s">
        <v>1324</v>
      </c>
      <c r="C235" s="404">
        <f>ROUND(Data!K539,2)</f>
        <v>1492.64</v>
      </c>
      <c r="D235" s="402" t="s">
        <v>1842</v>
      </c>
    </row>
    <row r="236" spans="1:4" ht="36.75" customHeight="1">
      <c r="A236" s="419"/>
      <c r="B236" s="400" t="s">
        <v>1078</v>
      </c>
      <c r="C236" s="411">
        <f>ROUND(Data!K540,2)</f>
        <v>1497.41</v>
      </c>
      <c r="D236" s="402" t="s">
        <v>1842</v>
      </c>
    </row>
    <row r="237" spans="1:4" ht="36.75" customHeight="1">
      <c r="A237" s="419"/>
      <c r="B237" s="400" t="s">
        <v>3771</v>
      </c>
      <c r="C237" s="411">
        <f>ROUND(Data!K541,2)</f>
        <v>1502.18</v>
      </c>
      <c r="D237" s="402" t="s">
        <v>1842</v>
      </c>
    </row>
    <row r="238" spans="1:4" ht="36.75" customHeight="1">
      <c r="A238" s="419"/>
      <c r="B238" s="400" t="s">
        <v>3772</v>
      </c>
      <c r="C238" s="411">
        <f>ROUND(Data!K542,2)</f>
        <v>1506.95</v>
      </c>
      <c r="D238" s="402" t="s">
        <v>1842</v>
      </c>
    </row>
    <row r="239" spans="1:4" ht="36.75" customHeight="1">
      <c r="A239" s="419"/>
      <c r="B239" s="400" t="s">
        <v>3773</v>
      </c>
      <c r="C239" s="411">
        <f>ROUND(Data!K543,2)</f>
        <v>1511.72</v>
      </c>
      <c r="D239" s="402" t="s">
        <v>1842</v>
      </c>
    </row>
    <row r="240" spans="1:4" ht="36.75" customHeight="1">
      <c r="A240" s="419"/>
      <c r="B240" s="400" t="s">
        <v>3774</v>
      </c>
      <c r="C240" s="411">
        <f>ROUND(Data!K544,2)</f>
        <v>1516.49</v>
      </c>
      <c r="D240" s="402" t="s">
        <v>1842</v>
      </c>
    </row>
    <row r="241" spans="1:4" ht="36.75" customHeight="1">
      <c r="A241" s="419"/>
      <c r="B241" s="400" t="s">
        <v>3775</v>
      </c>
      <c r="C241" s="411">
        <f>ROUND(Data!K545,2)</f>
        <v>1521.26</v>
      </c>
      <c r="D241" s="402" t="s">
        <v>1842</v>
      </c>
    </row>
    <row r="242" spans="1:4" ht="36.75" customHeight="1">
      <c r="A242" s="419"/>
      <c r="B242" s="400" t="s">
        <v>3776</v>
      </c>
      <c r="C242" s="411">
        <f>ROUND(Data!K546,2)</f>
        <v>1526.03</v>
      </c>
      <c r="D242" s="402" t="s">
        <v>1842</v>
      </c>
    </row>
    <row r="243" spans="1:4" ht="36.75" customHeight="1">
      <c r="A243" s="419"/>
      <c r="B243" s="400" t="s">
        <v>3777</v>
      </c>
      <c r="C243" s="411">
        <f>ROUND(Data!K547,2)</f>
        <v>1530.8</v>
      </c>
      <c r="D243" s="402" t="s">
        <v>1842</v>
      </c>
    </row>
    <row r="244" spans="1:4" s="413" customFormat="1" ht="36.75" customHeight="1">
      <c r="A244" s="432" t="s">
        <v>1128</v>
      </c>
      <c r="B244" s="414" t="s">
        <v>196</v>
      </c>
      <c r="C244" s="404"/>
      <c r="D244" s="402"/>
    </row>
    <row r="245" spans="1:4" s="413" customFormat="1" ht="36.75" customHeight="1">
      <c r="A245" s="400"/>
      <c r="B245" s="400" t="s">
        <v>619</v>
      </c>
      <c r="C245" s="404">
        <f>ROUND(Data!K558,2)</f>
        <v>1622.4</v>
      </c>
      <c r="D245" s="402" t="s">
        <v>1842</v>
      </c>
    </row>
    <row r="246" spans="1:4" s="413" customFormat="1" ht="36.75" customHeight="1">
      <c r="A246" s="400"/>
      <c r="B246" s="400" t="s">
        <v>620</v>
      </c>
      <c r="C246" s="404">
        <f>ROUND(Data!K560,2)</f>
        <v>1627.24</v>
      </c>
      <c r="D246" s="402" t="s">
        <v>1842</v>
      </c>
    </row>
    <row r="247" spans="1:4" s="413" customFormat="1" ht="36.75" customHeight="1">
      <c r="A247" s="400"/>
      <c r="B247" s="400" t="s">
        <v>1246</v>
      </c>
      <c r="C247" s="404">
        <f>ROUND(Data!K561,2)</f>
        <v>1636.77</v>
      </c>
      <c r="D247" s="402" t="s">
        <v>1842</v>
      </c>
    </row>
    <row r="248" spans="1:4" s="413" customFormat="1" ht="36.75" customHeight="1">
      <c r="A248" s="400"/>
      <c r="B248" s="400" t="s">
        <v>680</v>
      </c>
      <c r="C248" s="404">
        <f>ROUND(Data!K562,2)</f>
        <v>1646.3</v>
      </c>
      <c r="D248" s="402" t="s">
        <v>1842</v>
      </c>
    </row>
    <row r="249" spans="1:4" s="413" customFormat="1" ht="36.75" customHeight="1">
      <c r="A249" s="400"/>
      <c r="B249" s="400" t="s">
        <v>681</v>
      </c>
      <c r="C249" s="404">
        <f>ROUND(Data!K563,2)</f>
        <v>1655.83</v>
      </c>
      <c r="D249" s="402" t="s">
        <v>1842</v>
      </c>
    </row>
    <row r="250" spans="1:4" ht="36.75" customHeight="1">
      <c r="A250" s="419"/>
      <c r="B250" s="400" t="s">
        <v>1273</v>
      </c>
      <c r="C250" s="404">
        <f>ROUND(Data!K564,2)</f>
        <v>1665.36</v>
      </c>
      <c r="D250" s="402" t="s">
        <v>1842</v>
      </c>
    </row>
    <row r="251" spans="1:4" ht="36.75" customHeight="1">
      <c r="A251" s="399">
        <v>15.1</v>
      </c>
      <c r="B251" s="414" t="s">
        <v>1274</v>
      </c>
      <c r="C251" s="411"/>
      <c r="D251" s="402"/>
    </row>
    <row r="252" spans="1:4" ht="36.75" customHeight="1">
      <c r="A252" s="399"/>
      <c r="B252" s="400" t="s">
        <v>1252</v>
      </c>
      <c r="C252" s="411">
        <f>ROUND(Data!K591,2)</f>
        <v>556.1</v>
      </c>
      <c r="D252" s="402" t="s">
        <v>1842</v>
      </c>
    </row>
    <row r="253" spans="1:4" ht="36.75" customHeight="1">
      <c r="A253" s="399"/>
      <c r="B253" s="400" t="s">
        <v>1386</v>
      </c>
      <c r="C253" s="411">
        <f>ROUND(Data!K592,2)</f>
        <v>560.82000000000005</v>
      </c>
      <c r="D253" s="402" t="s">
        <v>1842</v>
      </c>
    </row>
    <row r="254" spans="1:4" ht="36.75" customHeight="1">
      <c r="A254" s="399"/>
      <c r="B254" s="400" t="s">
        <v>1434</v>
      </c>
      <c r="C254" s="411">
        <f>ROUND(Data!K593,2)</f>
        <v>565.54</v>
      </c>
      <c r="D254" s="402" t="s">
        <v>1842</v>
      </c>
    </row>
    <row r="255" spans="1:4" ht="36.75" customHeight="1">
      <c r="A255" s="399"/>
      <c r="B255" s="400" t="s">
        <v>1324</v>
      </c>
      <c r="C255" s="411">
        <f>ROUND(Data!K594,2)</f>
        <v>570.26</v>
      </c>
      <c r="D255" s="402" t="s">
        <v>1842</v>
      </c>
    </row>
    <row r="256" spans="1:4" ht="36.75" customHeight="1">
      <c r="A256" s="417"/>
      <c r="B256" s="400" t="s">
        <v>1078</v>
      </c>
      <c r="C256" s="411">
        <f>ROUND(Data!K595,2)</f>
        <v>574.98</v>
      </c>
      <c r="D256" s="402" t="s">
        <v>1842</v>
      </c>
    </row>
    <row r="257" spans="1:4" ht="36.75" customHeight="1">
      <c r="A257" s="399">
        <v>15.2</v>
      </c>
      <c r="B257" s="414" t="s">
        <v>2023</v>
      </c>
      <c r="C257" s="411"/>
      <c r="D257" s="402"/>
    </row>
    <row r="258" spans="1:4" ht="36.75" customHeight="1">
      <c r="A258" s="400"/>
      <c r="B258" s="400" t="s">
        <v>1252</v>
      </c>
      <c r="C258" s="411">
        <f>ROUND(Data!K613,2)</f>
        <v>2072.79</v>
      </c>
      <c r="D258" s="402" t="s">
        <v>1842</v>
      </c>
    </row>
    <row r="259" spans="1:4" ht="36.75" customHeight="1">
      <c r="A259" s="400"/>
      <c r="B259" s="400" t="s">
        <v>1386</v>
      </c>
      <c r="C259" s="411">
        <f>ROUND(Data!K614,2)</f>
        <v>2082.23</v>
      </c>
      <c r="D259" s="402" t="s">
        <v>1842</v>
      </c>
    </row>
    <row r="260" spans="1:4" ht="36.75" customHeight="1">
      <c r="A260" s="400"/>
      <c r="B260" s="400" t="s">
        <v>1434</v>
      </c>
      <c r="C260" s="411">
        <f>ROUND(Data!K615,2)</f>
        <v>2091.67</v>
      </c>
      <c r="D260" s="402" t="s">
        <v>1842</v>
      </c>
    </row>
    <row r="261" spans="1:4" ht="36.75" customHeight="1">
      <c r="A261" s="400"/>
      <c r="B261" s="400" t="s">
        <v>1324</v>
      </c>
      <c r="C261" s="411">
        <f>ROUND(Data!K616,2)</f>
        <v>2101.11</v>
      </c>
      <c r="D261" s="402" t="s">
        <v>1842</v>
      </c>
    </row>
    <row r="262" spans="1:4" ht="36.75" customHeight="1">
      <c r="A262" s="419"/>
      <c r="B262" s="400" t="s">
        <v>1078</v>
      </c>
      <c r="C262" s="411">
        <f>ROUND(Data!K617,2)</f>
        <v>2110.5500000000002</v>
      </c>
      <c r="D262" s="402" t="s">
        <v>1842</v>
      </c>
    </row>
    <row r="263" spans="1:4" s="413" customFormat="1" ht="36.75" customHeight="1">
      <c r="A263" s="399">
        <v>16.100000000000001</v>
      </c>
      <c r="B263" s="400" t="s">
        <v>6179</v>
      </c>
      <c r="C263" s="404"/>
      <c r="D263" s="402"/>
    </row>
    <row r="264" spans="1:4" s="413" customFormat="1" ht="36.75" customHeight="1">
      <c r="A264" s="399"/>
      <c r="B264" s="400" t="s">
        <v>202</v>
      </c>
      <c r="C264" s="404">
        <f>Data!K660</f>
        <v>2961.39</v>
      </c>
      <c r="D264" s="402" t="s">
        <v>1842</v>
      </c>
    </row>
    <row r="265" spans="1:4" s="413" customFormat="1" ht="36.75" customHeight="1">
      <c r="A265" s="399"/>
      <c r="B265" s="400" t="s">
        <v>1386</v>
      </c>
      <c r="C265" s="404">
        <f>ROUND(Data!K661,2)</f>
        <v>2970.28</v>
      </c>
      <c r="D265" s="402" t="s">
        <v>1842</v>
      </c>
    </row>
    <row r="266" spans="1:4" s="413" customFormat="1" ht="36.75" customHeight="1">
      <c r="A266" s="399"/>
      <c r="B266" s="400" t="s">
        <v>1434</v>
      </c>
      <c r="C266" s="404">
        <f>ROUND(Data!K662,2)</f>
        <v>2979.17</v>
      </c>
      <c r="D266" s="402" t="s">
        <v>1842</v>
      </c>
    </row>
    <row r="267" spans="1:4" s="413" customFormat="1" ht="36.75" customHeight="1">
      <c r="A267" s="399"/>
      <c r="B267" s="400" t="s">
        <v>1324</v>
      </c>
      <c r="C267" s="404">
        <f>ROUND(Data!K663,2)</f>
        <v>2988.06</v>
      </c>
      <c r="D267" s="402" t="s">
        <v>1842</v>
      </c>
    </row>
    <row r="268" spans="1:4" s="413" customFormat="1" ht="36.75" customHeight="1">
      <c r="A268" s="416"/>
      <c r="B268" s="400" t="s">
        <v>1078</v>
      </c>
      <c r="C268" s="404">
        <f>ROUND(Data!K664,2)</f>
        <v>2996.95</v>
      </c>
      <c r="D268" s="402" t="s">
        <v>1842</v>
      </c>
    </row>
    <row r="269" spans="1:4" ht="36.75" customHeight="1">
      <c r="A269" s="399">
        <v>16.2</v>
      </c>
      <c r="B269" s="400" t="s">
        <v>1247</v>
      </c>
      <c r="C269" s="411"/>
      <c r="D269" s="402"/>
    </row>
    <row r="270" spans="1:4" ht="36.75" customHeight="1">
      <c r="A270" s="400"/>
      <c r="B270" s="400" t="s">
        <v>202</v>
      </c>
      <c r="C270" s="411">
        <f>ROUND(Data!K687,2)</f>
        <v>483.95</v>
      </c>
      <c r="D270" s="402" t="s">
        <v>1842</v>
      </c>
    </row>
    <row r="271" spans="1:4" ht="36.75" customHeight="1">
      <c r="A271" s="400"/>
      <c r="B271" s="400" t="s">
        <v>203</v>
      </c>
      <c r="C271" s="411">
        <f>ROUND(Data!K688,2)</f>
        <v>491.91</v>
      </c>
      <c r="D271" s="402" t="s">
        <v>1842</v>
      </c>
    </row>
    <row r="272" spans="1:4" ht="36.75" customHeight="1">
      <c r="A272" s="400"/>
      <c r="B272" s="400" t="s">
        <v>204</v>
      </c>
      <c r="C272" s="411">
        <f>ROUND(Data!K689,2)</f>
        <v>499.87</v>
      </c>
      <c r="D272" s="402" t="s">
        <v>1842</v>
      </c>
    </row>
    <row r="273" spans="1:4" ht="36.75" customHeight="1">
      <c r="A273" s="400"/>
      <c r="B273" s="400" t="s">
        <v>205</v>
      </c>
      <c r="C273" s="411">
        <f>ROUND(Data!K690,2)</f>
        <v>507.83</v>
      </c>
      <c r="D273" s="402" t="s">
        <v>1842</v>
      </c>
    </row>
    <row r="274" spans="1:4" ht="36.75" customHeight="1">
      <c r="A274" s="419"/>
      <c r="B274" s="400" t="s">
        <v>606</v>
      </c>
      <c r="C274" s="411">
        <f>ROUND(Data!K691,2)</f>
        <v>515.79</v>
      </c>
      <c r="D274" s="402" t="s">
        <v>1842</v>
      </c>
    </row>
    <row r="275" spans="1:4" ht="36.75" customHeight="1">
      <c r="A275" s="399">
        <v>16.3</v>
      </c>
      <c r="B275" s="400" t="s">
        <v>343</v>
      </c>
      <c r="C275" s="411"/>
      <c r="D275" s="402"/>
    </row>
    <row r="276" spans="1:4" ht="36.75" customHeight="1">
      <c r="A276" s="399"/>
      <c r="B276" s="400" t="s">
        <v>202</v>
      </c>
      <c r="C276" s="411">
        <f>ROUND(Data!K707,2)</f>
        <v>658.68</v>
      </c>
      <c r="D276" s="402" t="s">
        <v>1842</v>
      </c>
    </row>
    <row r="277" spans="1:4" ht="36.75" customHeight="1">
      <c r="A277" s="399"/>
      <c r="B277" s="400" t="s">
        <v>203</v>
      </c>
      <c r="C277" s="411">
        <f>ROUND(Data!K708,2)</f>
        <v>676.19</v>
      </c>
      <c r="D277" s="402" t="s">
        <v>1842</v>
      </c>
    </row>
    <row r="278" spans="1:4" ht="36.75" customHeight="1">
      <c r="A278" s="399"/>
      <c r="B278" s="400" t="s">
        <v>204</v>
      </c>
      <c r="C278" s="411">
        <f>ROUND(Data!K709,2)</f>
        <v>693.7</v>
      </c>
      <c r="D278" s="402" t="s">
        <v>1842</v>
      </c>
    </row>
    <row r="279" spans="1:4" ht="36.75" customHeight="1">
      <c r="A279" s="400"/>
      <c r="B279" s="400" t="s">
        <v>205</v>
      </c>
      <c r="C279" s="411">
        <f>ROUND(Data!K710,2)</f>
        <v>711.21</v>
      </c>
      <c r="D279" s="402" t="s">
        <v>1842</v>
      </c>
    </row>
    <row r="280" spans="1:4" ht="36.75" customHeight="1">
      <c r="A280" s="419"/>
      <c r="B280" s="400" t="s">
        <v>606</v>
      </c>
      <c r="C280" s="411">
        <f>ROUND(Data!K711,2)</f>
        <v>728.72</v>
      </c>
      <c r="D280" s="402" t="s">
        <v>1842</v>
      </c>
    </row>
    <row r="281" spans="1:4" ht="36.75" customHeight="1">
      <c r="A281" s="399">
        <v>17</v>
      </c>
      <c r="B281" s="400" t="s">
        <v>6180</v>
      </c>
      <c r="C281" s="411"/>
      <c r="D281" s="402" t="s">
        <v>1842</v>
      </c>
    </row>
    <row r="282" spans="1:4" ht="36.75" customHeight="1">
      <c r="A282" s="399">
        <v>18</v>
      </c>
      <c r="B282" s="400" t="s">
        <v>6181</v>
      </c>
      <c r="C282" s="411"/>
      <c r="D282" s="402" t="s">
        <v>1842</v>
      </c>
    </row>
    <row r="283" spans="1:4" ht="36.75" customHeight="1">
      <c r="A283" s="399">
        <v>19</v>
      </c>
      <c r="B283" s="400" t="s">
        <v>6182</v>
      </c>
      <c r="C283" s="411"/>
      <c r="D283" s="402" t="s">
        <v>1842</v>
      </c>
    </row>
    <row r="284" spans="1:4" ht="36.75" customHeight="1">
      <c r="A284" s="399">
        <v>20</v>
      </c>
      <c r="B284" s="400" t="s">
        <v>1584</v>
      </c>
      <c r="C284" s="411"/>
      <c r="D284" s="402" t="s">
        <v>1842</v>
      </c>
    </row>
    <row r="285" spans="1:4" ht="36.75" customHeight="1">
      <c r="A285" s="399">
        <v>21.1</v>
      </c>
      <c r="B285" s="414" t="s">
        <v>1826</v>
      </c>
      <c r="C285" s="411"/>
      <c r="D285" s="402"/>
    </row>
    <row r="286" spans="1:4" ht="36.75" customHeight="1">
      <c r="A286" s="399"/>
      <c r="B286" s="400" t="s">
        <v>573</v>
      </c>
      <c r="C286" s="411">
        <f>ROUND(Data!K890,2)</f>
        <v>2772</v>
      </c>
      <c r="D286" s="402" t="s">
        <v>1398</v>
      </c>
    </row>
    <row r="287" spans="1:4" ht="36.75" customHeight="1">
      <c r="A287" s="399"/>
      <c r="B287" s="400" t="s">
        <v>1903</v>
      </c>
      <c r="C287" s="411">
        <f>ROUND(Data!K906,2)</f>
        <v>2734.7</v>
      </c>
      <c r="D287" s="402" t="s">
        <v>1398</v>
      </c>
    </row>
    <row r="288" spans="1:4" ht="36.75" customHeight="1">
      <c r="A288" s="417"/>
      <c r="B288" s="400" t="s">
        <v>1904</v>
      </c>
      <c r="C288" s="411">
        <f>ROUND(Data!K872,2)</f>
        <v>2793.85</v>
      </c>
      <c r="D288" s="402" t="s">
        <v>1398</v>
      </c>
    </row>
    <row r="289" spans="1:4" ht="36.75" customHeight="1">
      <c r="A289" s="399">
        <v>21.2</v>
      </c>
      <c r="B289" s="414" t="s">
        <v>2058</v>
      </c>
      <c r="C289" s="404"/>
      <c r="D289" s="402"/>
    </row>
    <row r="290" spans="1:4" ht="36.75" customHeight="1">
      <c r="A290" s="399"/>
      <c r="B290" s="400" t="s">
        <v>1783</v>
      </c>
      <c r="C290" s="404">
        <f>ROUND(Data!K924,2)</f>
        <v>125290</v>
      </c>
      <c r="D290" s="402" t="s">
        <v>1197</v>
      </c>
    </row>
    <row r="291" spans="1:4" ht="36.75" customHeight="1">
      <c r="A291" s="416"/>
      <c r="B291" s="400" t="s">
        <v>1784</v>
      </c>
      <c r="C291" s="404">
        <f>ROUND(Data!K931,2)</f>
        <v>113090</v>
      </c>
      <c r="D291" s="402" t="s">
        <v>1197</v>
      </c>
    </row>
    <row r="292" spans="1:4" ht="36.75" customHeight="1">
      <c r="A292" s="399">
        <v>21.3</v>
      </c>
      <c r="B292" s="400" t="s">
        <v>1785</v>
      </c>
      <c r="C292" s="411">
        <f>ROUND(Data!K913,2)</f>
        <v>2135</v>
      </c>
      <c r="D292" s="402" t="s">
        <v>1842</v>
      </c>
    </row>
    <row r="293" spans="1:4" ht="36.75" customHeight="1">
      <c r="A293" s="399">
        <v>22.1</v>
      </c>
      <c r="B293" s="400" t="s">
        <v>1366</v>
      </c>
      <c r="C293" s="411"/>
      <c r="D293" s="402"/>
    </row>
    <row r="294" spans="1:4" ht="36.75" customHeight="1">
      <c r="A294" s="400"/>
      <c r="B294" s="400" t="s">
        <v>389</v>
      </c>
      <c r="C294" s="411">
        <f>ROUND(Data!K965,2)</f>
        <v>5030.8599999999997</v>
      </c>
      <c r="D294" s="402" t="s">
        <v>1842</v>
      </c>
    </row>
    <row r="295" spans="1:4" ht="36.75" customHeight="1">
      <c r="A295" s="400"/>
      <c r="B295" s="400" t="s">
        <v>2056</v>
      </c>
      <c r="C295" s="411">
        <f>ROUND(Data!K1001,2)</f>
        <v>5046.57</v>
      </c>
      <c r="D295" s="402" t="s">
        <v>1842</v>
      </c>
    </row>
    <row r="296" spans="1:4" ht="36.75" customHeight="1">
      <c r="A296" s="419"/>
      <c r="B296" s="400" t="s">
        <v>2057</v>
      </c>
      <c r="C296" s="411">
        <f>ROUND(Data!K1031,2)</f>
        <v>5071.24</v>
      </c>
      <c r="D296" s="402" t="s">
        <v>1842</v>
      </c>
    </row>
    <row r="297" spans="1:4" ht="36.75" customHeight="1">
      <c r="A297" s="419"/>
      <c r="B297" s="400" t="s">
        <v>1677</v>
      </c>
      <c r="C297" s="411">
        <f>Data!R2835</f>
        <v>6050.31</v>
      </c>
      <c r="D297" s="402" t="s">
        <v>1842</v>
      </c>
    </row>
    <row r="298" spans="1:4" ht="36.75" customHeight="1">
      <c r="A298" s="399">
        <v>22.2</v>
      </c>
      <c r="B298" s="414" t="s">
        <v>479</v>
      </c>
      <c r="C298" s="411"/>
      <c r="D298" s="402"/>
    </row>
    <row r="299" spans="1:4" ht="36.75" customHeight="1">
      <c r="A299" s="400"/>
      <c r="B299" s="400" t="s">
        <v>1367</v>
      </c>
      <c r="C299" s="411">
        <f>ROUND(Data!K1082,2)</f>
        <v>3597.23</v>
      </c>
      <c r="D299" s="402" t="s">
        <v>1842</v>
      </c>
    </row>
    <row r="300" spans="1:4" ht="36.75" customHeight="1">
      <c r="A300" s="400"/>
      <c r="B300" s="400" t="s">
        <v>270</v>
      </c>
      <c r="C300" s="411"/>
      <c r="D300" s="402" t="s">
        <v>1842</v>
      </c>
    </row>
    <row r="301" spans="1:4" ht="36.75" customHeight="1">
      <c r="A301" s="400"/>
      <c r="B301" s="400" t="s">
        <v>271</v>
      </c>
      <c r="C301" s="411">
        <f>ROUND(Data!K1098,2)</f>
        <v>3796.08</v>
      </c>
      <c r="D301" s="402" t="s">
        <v>1842</v>
      </c>
    </row>
    <row r="302" spans="1:4" ht="36.75" customHeight="1">
      <c r="A302" s="419"/>
      <c r="B302" s="400" t="s">
        <v>272</v>
      </c>
      <c r="C302" s="411">
        <f>ROUND(Data!K1113,2)</f>
        <v>2804.85</v>
      </c>
      <c r="D302" s="402" t="s">
        <v>1842</v>
      </c>
    </row>
    <row r="303" spans="1:4" ht="36.75" customHeight="1">
      <c r="A303" s="399">
        <v>22.3</v>
      </c>
      <c r="B303" s="400" t="s">
        <v>1974</v>
      </c>
      <c r="C303" s="411"/>
      <c r="D303" s="402" t="s">
        <v>1842</v>
      </c>
    </row>
    <row r="304" spans="1:4" ht="36.75" customHeight="1">
      <c r="A304" s="399">
        <v>23.1</v>
      </c>
      <c r="B304" s="400" t="s">
        <v>1</v>
      </c>
      <c r="C304" s="411"/>
      <c r="D304" s="402" t="s">
        <v>1842</v>
      </c>
    </row>
    <row r="305" spans="1:4" ht="36.75" customHeight="1">
      <c r="A305" s="419"/>
      <c r="B305" s="400" t="s">
        <v>573</v>
      </c>
      <c r="C305" s="411">
        <f>ROUND(Data!K1067,2)</f>
        <v>3632.18</v>
      </c>
      <c r="D305" s="402" t="s">
        <v>1842</v>
      </c>
    </row>
    <row r="306" spans="1:4" ht="36.75" customHeight="1">
      <c r="A306" s="399">
        <v>23.2</v>
      </c>
      <c r="B306" s="400" t="s">
        <v>1710</v>
      </c>
      <c r="C306" s="411">
        <f>ROUND(Data!K1186,2)</f>
        <v>835.7</v>
      </c>
      <c r="D306" s="402" t="s">
        <v>1842</v>
      </c>
    </row>
    <row r="307" spans="1:4" s="413" customFormat="1" ht="36.75" customHeight="1">
      <c r="A307" s="399">
        <v>23.3</v>
      </c>
      <c r="B307" s="400" t="s">
        <v>572</v>
      </c>
      <c r="C307" s="404">
        <f>Data!K1171</f>
        <v>52</v>
      </c>
      <c r="D307" s="402" t="s">
        <v>1398</v>
      </c>
    </row>
    <row r="308" spans="1:4" ht="36.75" customHeight="1">
      <c r="A308" s="399">
        <v>23.4</v>
      </c>
      <c r="B308" s="400" t="s">
        <v>1700</v>
      </c>
      <c r="C308" s="411"/>
      <c r="D308" s="402"/>
    </row>
    <row r="309" spans="1:4" ht="36.75" customHeight="1">
      <c r="A309" s="400"/>
      <c r="B309" s="400" t="s">
        <v>419</v>
      </c>
      <c r="C309" s="411">
        <f>Data!X1400</f>
        <v>16131.07</v>
      </c>
      <c r="D309" s="402" t="s">
        <v>1398</v>
      </c>
    </row>
    <row r="310" spans="1:4" ht="36.75" customHeight="1">
      <c r="A310" s="400"/>
      <c r="B310" s="400" t="s">
        <v>420</v>
      </c>
      <c r="C310" s="411">
        <f>Data!R1405</f>
        <v>12157.16</v>
      </c>
      <c r="D310" s="402" t="s">
        <v>1398</v>
      </c>
    </row>
    <row r="311" spans="1:4" ht="36.75" customHeight="1">
      <c r="A311" s="400"/>
      <c r="B311" s="400" t="s">
        <v>178</v>
      </c>
      <c r="C311" s="411">
        <f>Data!X1366</f>
        <v>10349.34</v>
      </c>
      <c r="D311" s="402" t="s">
        <v>1398</v>
      </c>
    </row>
    <row r="312" spans="1:4" ht="36.75" customHeight="1">
      <c r="A312" s="400"/>
      <c r="B312" s="400" t="s">
        <v>363</v>
      </c>
      <c r="C312" s="411">
        <f>Data!R1422</f>
        <v>9698.5400000000009</v>
      </c>
      <c r="D312" s="402" t="s">
        <v>1398</v>
      </c>
    </row>
    <row r="313" spans="1:4" ht="36.75" customHeight="1">
      <c r="A313" s="400"/>
      <c r="B313" s="400" t="s">
        <v>2051</v>
      </c>
      <c r="C313" s="411">
        <f>Data!X1464</f>
        <v>8046.21</v>
      </c>
      <c r="D313" s="402" t="s">
        <v>1398</v>
      </c>
    </row>
    <row r="314" spans="1:4" ht="36.75" customHeight="1">
      <c r="A314" s="400"/>
      <c r="B314" s="400" t="s">
        <v>2052</v>
      </c>
      <c r="C314" s="411">
        <f>Data!AD1381</f>
        <v>8939.34</v>
      </c>
      <c r="D314" s="402" t="s">
        <v>1398</v>
      </c>
    </row>
    <row r="315" spans="1:4" ht="36.75" customHeight="1">
      <c r="A315" s="400"/>
      <c r="B315" s="400" t="s">
        <v>1327</v>
      </c>
      <c r="C315" s="411">
        <f>Data!X1383</f>
        <v>8175.11</v>
      </c>
      <c r="D315" s="402" t="s">
        <v>1398</v>
      </c>
    </row>
    <row r="316" spans="1:4" ht="36.75" customHeight="1">
      <c r="A316" s="400"/>
      <c r="B316" s="400" t="s">
        <v>1328</v>
      </c>
      <c r="C316" s="411">
        <f>Data!AD1364</f>
        <v>6960.5</v>
      </c>
      <c r="D316" s="402" t="s">
        <v>1398</v>
      </c>
    </row>
    <row r="317" spans="1:4" ht="36.75" customHeight="1">
      <c r="A317" s="400"/>
      <c r="B317" s="400" t="s">
        <v>165</v>
      </c>
      <c r="C317" s="411">
        <f>Data!AD1398</f>
        <v>4449.66</v>
      </c>
      <c r="D317" s="402" t="s">
        <v>1398</v>
      </c>
    </row>
    <row r="318" spans="1:4" ht="36.75" customHeight="1">
      <c r="A318" s="400"/>
      <c r="B318" s="400" t="s">
        <v>166</v>
      </c>
      <c r="C318" s="411">
        <f>Data!R1439</f>
        <v>4196.8900000000003</v>
      </c>
      <c r="D318" s="402" t="s">
        <v>1398</v>
      </c>
    </row>
    <row r="319" spans="1:4" ht="36.75" customHeight="1">
      <c r="A319" s="400"/>
      <c r="B319" s="400" t="s">
        <v>2029</v>
      </c>
      <c r="C319" s="411">
        <f>Data!R1480</f>
        <v>5115.5600000000004</v>
      </c>
      <c r="D319" s="402" t="s">
        <v>1398</v>
      </c>
    </row>
    <row r="320" spans="1:4" ht="36.75" customHeight="1">
      <c r="A320" s="419"/>
      <c r="B320" s="400" t="s">
        <v>1365</v>
      </c>
      <c r="C320" s="411">
        <f>Data!X1441</f>
        <v>5680.39</v>
      </c>
      <c r="D320" s="402" t="s">
        <v>1398</v>
      </c>
    </row>
    <row r="321" spans="1:4" s="410" customFormat="1" ht="36.75" customHeight="1">
      <c r="A321" s="406">
        <v>24</v>
      </c>
      <c r="B321" s="407" t="s">
        <v>179</v>
      </c>
      <c r="C321" s="408">
        <f>Data!K1192</f>
        <v>69.599999999999994</v>
      </c>
      <c r="D321" s="409" t="s">
        <v>268</v>
      </c>
    </row>
    <row r="322" spans="1:4" ht="36.75" customHeight="1">
      <c r="A322" s="399">
        <v>25</v>
      </c>
      <c r="B322" s="400" t="s">
        <v>180</v>
      </c>
      <c r="C322" s="404">
        <f>ROUND(Data!K1195,2)</f>
        <v>9.6</v>
      </c>
      <c r="D322" s="402" t="s">
        <v>1398</v>
      </c>
    </row>
    <row r="323" spans="1:4" ht="36.75" customHeight="1">
      <c r="A323" s="399">
        <v>26</v>
      </c>
      <c r="B323" s="400" t="s">
        <v>181</v>
      </c>
      <c r="C323" s="404">
        <f>ROUND(Data!K205,2)</f>
        <v>4887.9799999999996</v>
      </c>
      <c r="D323" s="402" t="s">
        <v>1197</v>
      </c>
    </row>
    <row r="324" spans="1:4" ht="36.75" customHeight="1">
      <c r="A324" s="399">
        <v>27.1</v>
      </c>
      <c r="B324" s="400" t="s">
        <v>305</v>
      </c>
      <c r="C324" s="411">
        <f>ROUND(Data!Y369,2)</f>
        <v>7215.18</v>
      </c>
      <c r="D324" s="402" t="s">
        <v>1197</v>
      </c>
    </row>
    <row r="325" spans="1:4" ht="36.75" customHeight="1">
      <c r="A325" s="399">
        <v>27.2</v>
      </c>
      <c r="B325" s="400" t="s">
        <v>2788</v>
      </c>
      <c r="C325" s="411">
        <f>ROUND(Data!AG382,2)</f>
        <v>7003.53</v>
      </c>
      <c r="D325" s="402" t="s">
        <v>1197</v>
      </c>
    </row>
    <row r="326" spans="1:4" ht="36.75" customHeight="1">
      <c r="A326" s="399">
        <v>27.3</v>
      </c>
      <c r="B326" s="400" t="s">
        <v>920</v>
      </c>
      <c r="C326" s="411"/>
      <c r="D326" s="402" t="s">
        <v>1197</v>
      </c>
    </row>
    <row r="327" spans="1:4" ht="36.75" customHeight="1">
      <c r="A327" s="399">
        <v>27.4</v>
      </c>
      <c r="B327" s="400" t="s">
        <v>169</v>
      </c>
      <c r="C327" s="411"/>
      <c r="D327" s="402" t="s">
        <v>1197</v>
      </c>
    </row>
    <row r="328" spans="1:4" ht="36.75" customHeight="1">
      <c r="A328" s="399">
        <v>27.5</v>
      </c>
      <c r="B328" s="400" t="s">
        <v>1505</v>
      </c>
      <c r="C328" s="411">
        <f>ROUND(Data!K373,2)</f>
        <v>7144.28</v>
      </c>
      <c r="D328" s="402" t="s">
        <v>1197</v>
      </c>
    </row>
    <row r="329" spans="1:4" ht="36.75" customHeight="1">
      <c r="A329" s="399">
        <v>27.6</v>
      </c>
      <c r="B329" s="400" t="s">
        <v>1701</v>
      </c>
      <c r="C329" s="411"/>
      <c r="D329" s="402" t="s">
        <v>1197</v>
      </c>
    </row>
    <row r="330" spans="1:4" ht="36.75" customHeight="1">
      <c r="A330" s="399">
        <v>28</v>
      </c>
      <c r="B330" s="414" t="s">
        <v>6183</v>
      </c>
      <c r="C330" s="404">
        <f>ROUND(Data!K1214,2)</f>
        <v>519.73</v>
      </c>
      <c r="D330" s="402" t="s">
        <v>1842</v>
      </c>
    </row>
    <row r="331" spans="1:4" ht="36.75" customHeight="1">
      <c r="A331" s="399">
        <v>29.1</v>
      </c>
      <c r="B331" s="414" t="s">
        <v>6184</v>
      </c>
      <c r="C331" s="411"/>
      <c r="D331" s="402" t="s">
        <v>1842</v>
      </c>
    </row>
    <row r="332" spans="1:4" ht="36.75" customHeight="1">
      <c r="A332" s="399">
        <v>29.2</v>
      </c>
      <c r="B332" s="414" t="s">
        <v>6185</v>
      </c>
      <c r="C332" s="411">
        <f>ROUND(Data!K1242,2)</f>
        <v>1238.95</v>
      </c>
      <c r="D332" s="402" t="s">
        <v>1842</v>
      </c>
    </row>
    <row r="333" spans="1:4" ht="36.75" customHeight="1">
      <c r="A333" s="399">
        <v>29.3</v>
      </c>
      <c r="B333" s="400" t="s">
        <v>1702</v>
      </c>
      <c r="C333" s="411">
        <f>ROUND(Data!K1265,2)</f>
        <v>1217.55</v>
      </c>
      <c r="D333" s="402" t="s">
        <v>1842</v>
      </c>
    </row>
    <row r="334" spans="1:4" ht="36.75" customHeight="1">
      <c r="A334" s="399">
        <v>29.4</v>
      </c>
      <c r="B334" s="400" t="s">
        <v>1703</v>
      </c>
      <c r="C334" s="411">
        <f>ROUND(Data!K1279,2)</f>
        <v>1380.17</v>
      </c>
      <c r="D334" s="402" t="s">
        <v>1842</v>
      </c>
    </row>
    <row r="335" spans="1:4" ht="36.75" customHeight="1">
      <c r="A335" s="399">
        <v>29.5</v>
      </c>
      <c r="B335" s="400" t="s">
        <v>841</v>
      </c>
      <c r="C335" s="411">
        <f>C333</f>
        <v>1217.55</v>
      </c>
      <c r="D335" s="402" t="s">
        <v>1842</v>
      </c>
    </row>
    <row r="336" spans="1:4" ht="36.75" customHeight="1">
      <c r="A336" s="399">
        <v>30</v>
      </c>
      <c r="B336" s="400" t="s">
        <v>1704</v>
      </c>
      <c r="C336" s="404">
        <f>ROUND(Data!K1313,2)</f>
        <v>442.65</v>
      </c>
      <c r="D336" s="402" t="s">
        <v>1842</v>
      </c>
    </row>
    <row r="337" spans="1:4" ht="36.75" customHeight="1">
      <c r="A337" s="399">
        <v>31</v>
      </c>
      <c r="B337" s="400" t="s">
        <v>1705</v>
      </c>
      <c r="C337" s="404">
        <f>ROUND('Print Data (2)'!F406,2)</f>
        <v>3785.37</v>
      </c>
      <c r="D337" s="402" t="s">
        <v>1197</v>
      </c>
    </row>
    <row r="338" spans="1:4" ht="36.75" customHeight="1">
      <c r="A338" s="399">
        <v>32</v>
      </c>
      <c r="B338" s="400" t="s">
        <v>562</v>
      </c>
      <c r="C338" s="411"/>
      <c r="D338" s="402" t="s">
        <v>1842</v>
      </c>
    </row>
    <row r="339" spans="1:4" ht="36.75" customHeight="1">
      <c r="A339" s="399">
        <v>32.1</v>
      </c>
      <c r="B339" s="400" t="s">
        <v>853</v>
      </c>
      <c r="C339" s="411">
        <f>ROUND(Data!K1366,2)</f>
        <v>1197.92</v>
      </c>
      <c r="D339" s="402" t="s">
        <v>1842</v>
      </c>
    </row>
    <row r="340" spans="1:4" ht="36.75" customHeight="1">
      <c r="A340" s="399">
        <v>32.200000000000003</v>
      </c>
      <c r="B340" s="400" t="s">
        <v>852</v>
      </c>
      <c r="C340" s="411"/>
      <c r="D340" s="402" t="s">
        <v>1842</v>
      </c>
    </row>
    <row r="341" spans="1:4" ht="36.75" customHeight="1">
      <c r="A341" s="399">
        <v>33</v>
      </c>
      <c r="B341" s="400" t="s">
        <v>1006</v>
      </c>
      <c r="C341" s="404">
        <f>ROUND(Data!K1401,2)</f>
        <v>256.69</v>
      </c>
      <c r="D341" s="402" t="s">
        <v>1842</v>
      </c>
    </row>
    <row r="342" spans="1:4" ht="36.75" customHeight="1">
      <c r="A342" s="399">
        <v>34</v>
      </c>
      <c r="B342" s="400" t="s">
        <v>1007</v>
      </c>
      <c r="C342" s="404">
        <f>ROUND(Data!K1415,2)</f>
        <v>262.77999999999997</v>
      </c>
      <c r="D342" s="402" t="s">
        <v>1842</v>
      </c>
    </row>
    <row r="343" spans="1:4" ht="36.75" customHeight="1">
      <c r="A343" s="399">
        <v>35</v>
      </c>
      <c r="B343" s="400" t="s">
        <v>936</v>
      </c>
      <c r="C343" s="404">
        <f>ROUND(Data!K1427,2)</f>
        <v>291.13</v>
      </c>
      <c r="D343" s="402" t="s">
        <v>1842</v>
      </c>
    </row>
    <row r="344" spans="1:4" ht="36.75" customHeight="1">
      <c r="A344" s="399">
        <v>36</v>
      </c>
      <c r="B344" s="414" t="s">
        <v>1725</v>
      </c>
      <c r="C344" s="404"/>
      <c r="D344" s="402"/>
    </row>
    <row r="345" spans="1:4" ht="36.75" customHeight="1">
      <c r="A345" s="400" t="s">
        <v>975</v>
      </c>
      <c r="B345" s="400" t="s">
        <v>1462</v>
      </c>
      <c r="C345" s="404">
        <f>ROUND(Data!K1461,2)</f>
        <v>81.239999999999995</v>
      </c>
      <c r="D345" s="402" t="s">
        <v>826</v>
      </c>
    </row>
    <row r="346" spans="1:4" ht="36.75" customHeight="1">
      <c r="A346" s="400"/>
      <c r="B346" s="400" t="s">
        <v>1944</v>
      </c>
      <c r="C346" s="404">
        <f>ROUND(Data!K1473,2)</f>
        <v>52.81</v>
      </c>
      <c r="D346" s="402" t="s">
        <v>826</v>
      </c>
    </row>
    <row r="347" spans="1:4" ht="36.75" customHeight="1">
      <c r="A347" s="411"/>
      <c r="B347" s="400" t="s">
        <v>1945</v>
      </c>
      <c r="C347" s="404">
        <f>ROUND(Data!K1486,2)</f>
        <v>39.29</v>
      </c>
      <c r="D347" s="402" t="s">
        <v>826</v>
      </c>
    </row>
    <row r="348" spans="1:4" ht="36.75" customHeight="1">
      <c r="A348" s="399">
        <v>37.1</v>
      </c>
      <c r="B348" s="400" t="s">
        <v>6186</v>
      </c>
      <c r="C348" s="404">
        <f>ROUND('Print Data (2)'!F497,2)</f>
        <v>45.28</v>
      </c>
      <c r="D348" s="402" t="s">
        <v>1842</v>
      </c>
    </row>
    <row r="349" spans="1:4" ht="36.75" customHeight="1">
      <c r="A349" s="399">
        <v>37.200000000000003</v>
      </c>
      <c r="B349" s="400" t="s">
        <v>6187</v>
      </c>
      <c r="C349" s="411">
        <f>Data!R408</f>
        <v>50.33</v>
      </c>
      <c r="D349" s="402" t="s">
        <v>1842</v>
      </c>
    </row>
    <row r="350" spans="1:4" ht="36.75" customHeight="1">
      <c r="A350" s="399">
        <v>38.1</v>
      </c>
      <c r="B350" s="400" t="s">
        <v>1946</v>
      </c>
      <c r="C350" s="411">
        <f>ROUND(Data!K1514,2)</f>
        <v>196.76</v>
      </c>
      <c r="D350" s="402" t="s">
        <v>1842</v>
      </c>
    </row>
    <row r="351" spans="1:4" ht="36.75" customHeight="1">
      <c r="A351" s="399">
        <v>38.200000000000003</v>
      </c>
      <c r="B351" s="400" t="s">
        <v>31</v>
      </c>
      <c r="C351" s="411">
        <f>ROUND(Data!K1527,2)</f>
        <v>163.93</v>
      </c>
      <c r="D351" s="402" t="s">
        <v>1842</v>
      </c>
    </row>
    <row r="352" spans="1:4" ht="36.75" customHeight="1">
      <c r="A352" s="399">
        <v>39</v>
      </c>
      <c r="B352" s="400" t="s">
        <v>1947</v>
      </c>
      <c r="C352" s="404">
        <f>'Print Data (2)'!F409</f>
        <v>70.150000000000006</v>
      </c>
      <c r="D352" s="402" t="s">
        <v>268</v>
      </c>
    </row>
    <row r="353" spans="1:4" ht="36.75" customHeight="1">
      <c r="A353" s="399">
        <v>40</v>
      </c>
      <c r="B353" s="400" t="s">
        <v>2040</v>
      </c>
      <c r="C353" s="404">
        <f>ROUND(Data!K1541,2)</f>
        <v>233.74</v>
      </c>
      <c r="D353" s="402" t="s">
        <v>1842</v>
      </c>
    </row>
    <row r="354" spans="1:4" ht="36.75" customHeight="1">
      <c r="A354" s="399">
        <v>41</v>
      </c>
      <c r="B354" s="400" t="s">
        <v>1948</v>
      </c>
      <c r="C354" s="404">
        <f>ROUND('Print Data (2)'!F421,2)</f>
        <v>138.35</v>
      </c>
      <c r="D354" s="402" t="s">
        <v>1842</v>
      </c>
    </row>
    <row r="355" spans="1:4" ht="36.75" customHeight="1">
      <c r="A355" s="399">
        <v>42</v>
      </c>
      <c r="B355" s="400" t="s">
        <v>6188</v>
      </c>
      <c r="C355" s="411"/>
      <c r="D355" s="402"/>
    </row>
    <row r="356" spans="1:4" ht="36.75" customHeight="1">
      <c r="A356" s="400"/>
      <c r="B356" s="400" t="s">
        <v>2060</v>
      </c>
      <c r="C356" s="411">
        <f>ROUND(Data!K1583,2)</f>
        <v>90882</v>
      </c>
      <c r="D356" s="402" t="s">
        <v>528</v>
      </c>
    </row>
    <row r="357" spans="1:4" ht="36.75" customHeight="1">
      <c r="A357" s="419"/>
      <c r="B357" s="400" t="s">
        <v>2061</v>
      </c>
      <c r="C357" s="411">
        <f>ROUND(Data!K1596,2)</f>
        <v>90882</v>
      </c>
      <c r="D357" s="402" t="s">
        <v>528</v>
      </c>
    </row>
    <row r="358" spans="1:4" ht="36.75" customHeight="1">
      <c r="A358" s="399">
        <v>43</v>
      </c>
      <c r="B358" s="400" t="s">
        <v>6189</v>
      </c>
      <c r="C358" s="411"/>
      <c r="D358" s="402"/>
    </row>
    <row r="359" spans="1:4" ht="36.75" customHeight="1">
      <c r="A359" s="400"/>
      <c r="B359" s="400" t="s">
        <v>2060</v>
      </c>
      <c r="C359" s="411">
        <f>ROUND(Data!K1609,2)</f>
        <v>88873.5</v>
      </c>
      <c r="D359" s="402" t="s">
        <v>528</v>
      </c>
    </row>
    <row r="360" spans="1:4" ht="36.75" customHeight="1">
      <c r="A360" s="419"/>
      <c r="B360" s="400" t="s">
        <v>2061</v>
      </c>
      <c r="C360" s="411">
        <f>ROUND(Data!K1621,2)</f>
        <v>88873.5</v>
      </c>
      <c r="D360" s="402" t="s">
        <v>528</v>
      </c>
    </row>
    <row r="361" spans="1:4" ht="36.75" customHeight="1">
      <c r="A361" s="399">
        <v>44.1</v>
      </c>
      <c r="B361" s="400" t="s">
        <v>6190</v>
      </c>
      <c r="C361" s="411">
        <f>ROUND(Data!K1639,2)</f>
        <v>343.11</v>
      </c>
      <c r="D361" s="402" t="s">
        <v>826</v>
      </c>
    </row>
    <row r="362" spans="1:4" ht="36.75" customHeight="1">
      <c r="A362" s="399">
        <v>44.2</v>
      </c>
      <c r="B362" s="400" t="s">
        <v>854</v>
      </c>
      <c r="C362" s="411"/>
      <c r="D362" s="402" t="s">
        <v>1398</v>
      </c>
    </row>
    <row r="363" spans="1:4" s="410" customFormat="1" ht="36.75" customHeight="1">
      <c r="A363" s="406">
        <v>45</v>
      </c>
      <c r="B363" s="415" t="s">
        <v>6191</v>
      </c>
      <c r="C363" s="408">
        <f>ROUND(Data!K1654,2)</f>
        <v>316.38</v>
      </c>
      <c r="D363" s="409" t="s">
        <v>1842</v>
      </c>
    </row>
    <row r="364" spans="1:4" ht="36.75" customHeight="1">
      <c r="A364" s="399">
        <v>46</v>
      </c>
      <c r="B364" s="400" t="s">
        <v>763</v>
      </c>
      <c r="C364" s="404">
        <f>ROUND(Data!K1671,2)</f>
        <v>58</v>
      </c>
      <c r="D364" s="402" t="s">
        <v>826</v>
      </c>
    </row>
    <row r="365" spans="1:4" ht="36.75" customHeight="1">
      <c r="A365" s="399">
        <v>47</v>
      </c>
      <c r="B365" s="400" t="s">
        <v>919</v>
      </c>
      <c r="C365" s="404">
        <f>ROUND(Data!K1683,2)</f>
        <v>95</v>
      </c>
      <c r="D365" s="402" t="s">
        <v>1398</v>
      </c>
    </row>
    <row r="366" spans="1:4" ht="36.75" customHeight="1">
      <c r="A366" s="399">
        <v>48</v>
      </c>
      <c r="B366" s="400" t="s">
        <v>1839</v>
      </c>
      <c r="C366" s="404">
        <f>ROUND(Data!K1691,2)</f>
        <v>55</v>
      </c>
      <c r="D366" s="402" t="s">
        <v>1398</v>
      </c>
    </row>
    <row r="367" spans="1:4" ht="36.75" customHeight="1">
      <c r="A367" s="399">
        <v>49</v>
      </c>
      <c r="B367" s="400" t="s">
        <v>1840</v>
      </c>
      <c r="C367" s="404">
        <f>ROUND(Data!K1698,2)</f>
        <v>1.5</v>
      </c>
      <c r="D367" s="402" t="s">
        <v>1398</v>
      </c>
    </row>
    <row r="368" spans="1:4" ht="36.75" customHeight="1">
      <c r="A368" s="399">
        <v>50.1</v>
      </c>
      <c r="B368" s="400" t="s">
        <v>1841</v>
      </c>
      <c r="C368" s="411"/>
      <c r="D368" s="402" t="s">
        <v>1842</v>
      </c>
    </row>
    <row r="369" spans="1:4" ht="36.75" customHeight="1">
      <c r="A369" s="399">
        <v>50.2</v>
      </c>
      <c r="B369" s="400" t="s">
        <v>290</v>
      </c>
      <c r="C369" s="404">
        <f>ROUND(Data!K1747,2)</f>
        <v>265.82</v>
      </c>
      <c r="D369" s="402" t="s">
        <v>826</v>
      </c>
    </row>
    <row r="370" spans="1:4" ht="36.75" customHeight="1">
      <c r="A370" s="399">
        <v>50.3</v>
      </c>
      <c r="B370" s="400" t="s">
        <v>2193</v>
      </c>
      <c r="C370" s="404">
        <f>ROUND(Data!K1763,2)</f>
        <v>389.76</v>
      </c>
      <c r="D370" s="402" t="s">
        <v>1398</v>
      </c>
    </row>
    <row r="371" spans="1:4" ht="36.75" customHeight="1">
      <c r="A371" s="399">
        <v>50.4</v>
      </c>
      <c r="B371" s="400" t="s">
        <v>2194</v>
      </c>
      <c r="C371" s="404">
        <f>ROUND(Data!K1776,2)</f>
        <v>884.89</v>
      </c>
      <c r="D371" s="402" t="s">
        <v>1398</v>
      </c>
    </row>
    <row r="372" spans="1:4" ht="36.75" customHeight="1">
      <c r="A372" s="399">
        <v>50.5</v>
      </c>
      <c r="B372" s="400" t="s">
        <v>391</v>
      </c>
      <c r="C372" s="404">
        <f>ROUND(Data!K1791,2)</f>
        <v>11863.88</v>
      </c>
      <c r="D372" s="402" t="s">
        <v>1398</v>
      </c>
    </row>
    <row r="373" spans="1:4" ht="36.75" customHeight="1">
      <c r="A373" s="399">
        <v>51</v>
      </c>
      <c r="B373" s="400" t="s">
        <v>244</v>
      </c>
      <c r="C373" s="411">
        <f>ROUND(Data!K1797,2)</f>
        <v>7035</v>
      </c>
      <c r="D373" s="402" t="s">
        <v>1398</v>
      </c>
    </row>
    <row r="374" spans="1:4" s="424" customFormat="1" ht="36.75" customHeight="1">
      <c r="A374" s="406">
        <v>52</v>
      </c>
      <c r="B374" s="415" t="s">
        <v>245</v>
      </c>
      <c r="C374" s="408"/>
      <c r="D374" s="409"/>
    </row>
    <row r="375" spans="1:4" s="424" customFormat="1" ht="36.75" customHeight="1">
      <c r="A375" s="407"/>
      <c r="B375" s="407" t="s">
        <v>46</v>
      </c>
      <c r="C375" s="408">
        <f>ROUND(Data!K1891,2)</f>
        <v>252.01</v>
      </c>
      <c r="D375" s="409" t="s">
        <v>826</v>
      </c>
    </row>
    <row r="376" spans="1:4" s="424" customFormat="1" ht="36.75" customHeight="1">
      <c r="A376" s="407"/>
      <c r="B376" s="407" t="s">
        <v>47</v>
      </c>
      <c r="C376" s="408">
        <f>ROUND(Data!K1883,2)</f>
        <v>234.4</v>
      </c>
      <c r="D376" s="409" t="s">
        <v>826</v>
      </c>
    </row>
    <row r="377" spans="1:4" ht="36.75" customHeight="1">
      <c r="A377" s="419"/>
      <c r="B377" s="400" t="s">
        <v>48</v>
      </c>
      <c r="C377" s="411">
        <f>ROUND(Data!K1875,2)</f>
        <v>229.61</v>
      </c>
      <c r="D377" s="402" t="s">
        <v>826</v>
      </c>
    </row>
    <row r="378" spans="1:4" ht="36.75" customHeight="1">
      <c r="A378" s="399">
        <v>52.1</v>
      </c>
      <c r="B378" s="433" t="s">
        <v>1521</v>
      </c>
      <c r="C378" s="434">
        <f>ROUND(Data!K1928,2)</f>
        <v>311.44</v>
      </c>
      <c r="D378" s="402" t="s">
        <v>826</v>
      </c>
    </row>
    <row r="379" spans="1:4" ht="36.75" customHeight="1">
      <c r="A379" s="399">
        <v>53.1</v>
      </c>
      <c r="B379" s="400" t="s">
        <v>49</v>
      </c>
      <c r="C379" s="411">
        <f>ROUND(Data!K1949,2)</f>
        <v>3337.32</v>
      </c>
      <c r="D379" s="402" t="s">
        <v>1398</v>
      </c>
    </row>
    <row r="380" spans="1:4" ht="36.75" customHeight="1">
      <c r="A380" s="399">
        <v>53.2</v>
      </c>
      <c r="B380" s="400" t="s">
        <v>1183</v>
      </c>
      <c r="C380" s="411"/>
      <c r="D380" s="402" t="s">
        <v>1398</v>
      </c>
    </row>
    <row r="381" spans="1:4" ht="36.75" customHeight="1">
      <c r="A381" s="399">
        <v>53.3</v>
      </c>
      <c r="B381" s="400" t="s">
        <v>50</v>
      </c>
      <c r="C381" s="404">
        <f>ROUND(Data!K1953,2)</f>
        <v>30</v>
      </c>
      <c r="D381" s="402" t="s">
        <v>1398</v>
      </c>
    </row>
    <row r="382" spans="1:4" ht="36.75" customHeight="1">
      <c r="A382" s="435">
        <v>54</v>
      </c>
      <c r="B382" s="400" t="s">
        <v>977</v>
      </c>
      <c r="C382" s="411">
        <f>ROUND(Data!K1955,2)</f>
        <v>206</v>
      </c>
      <c r="D382" s="402" t="s">
        <v>1398</v>
      </c>
    </row>
    <row r="383" spans="1:4" ht="36.75" customHeight="1">
      <c r="A383" s="399">
        <v>54.1</v>
      </c>
      <c r="B383" s="400" t="s">
        <v>1184</v>
      </c>
      <c r="C383" s="404">
        <f>ROUND(Data!K1958,2)</f>
        <v>300</v>
      </c>
      <c r="D383" s="402" t="s">
        <v>1398</v>
      </c>
    </row>
    <row r="384" spans="1:4" ht="36.75" customHeight="1">
      <c r="A384" s="399">
        <v>54.2</v>
      </c>
      <c r="B384" s="400" t="s">
        <v>1185</v>
      </c>
      <c r="C384" s="404">
        <f>ROUND(Data!K1961,2)</f>
        <v>250</v>
      </c>
      <c r="D384" s="402" t="s">
        <v>1398</v>
      </c>
    </row>
    <row r="385" spans="1:4" ht="36.75" customHeight="1">
      <c r="A385" s="399">
        <v>55.1</v>
      </c>
      <c r="B385" s="400" t="s">
        <v>1218</v>
      </c>
      <c r="C385" s="411">
        <f>Data!K2404</f>
        <v>886.53</v>
      </c>
      <c r="D385" s="402" t="s">
        <v>1398</v>
      </c>
    </row>
    <row r="386" spans="1:4" ht="36.75" customHeight="1">
      <c r="A386" s="399">
        <v>55.2</v>
      </c>
      <c r="B386" s="400" t="s">
        <v>1219</v>
      </c>
      <c r="C386" s="411">
        <f>Data!K2416</f>
        <v>2198.25</v>
      </c>
      <c r="D386" s="402" t="s">
        <v>1398</v>
      </c>
    </row>
    <row r="387" spans="1:4" ht="36.75" customHeight="1">
      <c r="A387" s="399">
        <v>56.1</v>
      </c>
      <c r="B387" s="400" t="s">
        <v>1220</v>
      </c>
      <c r="C387" s="411">
        <f>ROUND(Data!K1978,2)</f>
        <v>3374.2</v>
      </c>
      <c r="D387" s="402" t="s">
        <v>1398</v>
      </c>
    </row>
    <row r="388" spans="1:4" ht="36.75" customHeight="1">
      <c r="A388" s="399">
        <v>56.2</v>
      </c>
      <c r="B388" s="400" t="s">
        <v>2289</v>
      </c>
      <c r="C388" s="411">
        <f>ROUND(Data!K1999,2)</f>
        <v>5271.16</v>
      </c>
      <c r="D388" s="402" t="s">
        <v>1398</v>
      </c>
    </row>
    <row r="389" spans="1:4" ht="36.75" customHeight="1">
      <c r="A389" s="435">
        <v>57</v>
      </c>
      <c r="B389" s="400" t="s">
        <v>392</v>
      </c>
      <c r="C389" s="404">
        <f>ROUND(Data!K2016,2)</f>
        <v>7114.2</v>
      </c>
      <c r="D389" s="402" t="s">
        <v>1398</v>
      </c>
    </row>
    <row r="390" spans="1:4" ht="36.75" customHeight="1">
      <c r="A390" s="399">
        <v>57.1</v>
      </c>
      <c r="B390" s="400" t="s">
        <v>393</v>
      </c>
      <c r="C390" s="411">
        <f>ROUND(Data!K2035,2)</f>
        <v>7508.2</v>
      </c>
      <c r="D390" s="402" t="s">
        <v>1398</v>
      </c>
    </row>
    <row r="391" spans="1:4" ht="36.75" customHeight="1">
      <c r="A391" s="399">
        <v>58.1</v>
      </c>
      <c r="B391" s="400" t="s">
        <v>394</v>
      </c>
      <c r="C391" s="411"/>
      <c r="D391" s="402"/>
    </row>
    <row r="392" spans="1:4" ht="36.75" customHeight="1">
      <c r="A392" s="400"/>
      <c r="B392" s="400" t="s">
        <v>35</v>
      </c>
      <c r="C392" s="411">
        <f>ROUND(Data!K2064,2)</f>
        <v>717.55</v>
      </c>
      <c r="D392" s="402" t="s">
        <v>826</v>
      </c>
    </row>
    <row r="393" spans="1:4" ht="36.75" customHeight="1">
      <c r="A393" s="419"/>
      <c r="B393" s="400" t="s">
        <v>36</v>
      </c>
      <c r="C393" s="411">
        <f>ROUND(Data!K2088,2)</f>
        <v>600.25</v>
      </c>
      <c r="D393" s="402" t="s">
        <v>826</v>
      </c>
    </row>
    <row r="394" spans="1:4" ht="36.75" customHeight="1">
      <c r="A394" s="399">
        <v>58.2</v>
      </c>
      <c r="B394" s="400" t="s">
        <v>37</v>
      </c>
      <c r="C394" s="411">
        <f>ROUND(Data!K2099,2)</f>
        <v>454</v>
      </c>
      <c r="D394" s="402" t="s">
        <v>1398</v>
      </c>
    </row>
    <row r="395" spans="1:4" ht="36.75" customHeight="1">
      <c r="A395" s="399">
        <v>59.1</v>
      </c>
      <c r="B395" s="400" t="s">
        <v>287</v>
      </c>
      <c r="C395" s="411"/>
      <c r="D395" s="402" t="s">
        <v>1398</v>
      </c>
    </row>
    <row r="396" spans="1:4" ht="36.75" customHeight="1">
      <c r="A396" s="399">
        <v>59.2</v>
      </c>
      <c r="B396" s="400" t="s">
        <v>33</v>
      </c>
      <c r="C396" s="411">
        <f>ROUND(Data!K2112,2)</f>
        <v>2002.83</v>
      </c>
      <c r="D396" s="402" t="s">
        <v>1398</v>
      </c>
    </row>
    <row r="397" spans="1:4" ht="36.75" customHeight="1">
      <c r="A397" s="399">
        <v>59.3</v>
      </c>
      <c r="B397" s="400" t="s">
        <v>230</v>
      </c>
      <c r="C397" s="411"/>
      <c r="D397" s="402" t="s">
        <v>1398</v>
      </c>
    </row>
    <row r="398" spans="1:4" ht="36.75" customHeight="1">
      <c r="A398" s="399">
        <v>59.4</v>
      </c>
      <c r="B398" s="400" t="s">
        <v>1305</v>
      </c>
      <c r="C398" s="411"/>
      <c r="D398" s="402" t="s">
        <v>1398</v>
      </c>
    </row>
    <row r="399" spans="1:4" s="410" customFormat="1" ht="36.75" customHeight="1">
      <c r="A399" s="406">
        <v>59.5</v>
      </c>
      <c r="B399" s="407" t="s">
        <v>1306</v>
      </c>
      <c r="C399" s="408">
        <f>Data!K2112</f>
        <v>2002.83</v>
      </c>
      <c r="D399" s="409" t="s">
        <v>1398</v>
      </c>
    </row>
    <row r="400" spans="1:4" ht="36.75" customHeight="1">
      <c r="A400" s="399">
        <v>59.6</v>
      </c>
      <c r="B400" s="400" t="s">
        <v>1209</v>
      </c>
      <c r="C400" s="411"/>
      <c r="D400" s="402" t="s">
        <v>1398</v>
      </c>
    </row>
    <row r="401" spans="1:4" ht="36.75" customHeight="1">
      <c r="A401" s="399">
        <v>60</v>
      </c>
      <c r="B401" s="400" t="s">
        <v>1525</v>
      </c>
      <c r="C401" s="404">
        <f>ROUND(Data!K2120,2)</f>
        <v>160</v>
      </c>
      <c r="D401" s="402" t="s">
        <v>1398</v>
      </c>
    </row>
    <row r="402" spans="1:4" ht="36.75" customHeight="1">
      <c r="A402" s="399">
        <v>61.1</v>
      </c>
      <c r="B402" s="400" t="s">
        <v>1308</v>
      </c>
      <c r="C402" s="404"/>
      <c r="D402" s="402"/>
    </row>
    <row r="403" spans="1:4" ht="36.75" customHeight="1">
      <c r="A403" s="400"/>
      <c r="B403" s="400" t="s">
        <v>1051</v>
      </c>
      <c r="C403" s="404">
        <f>ROUND(Data!K2139,2)</f>
        <v>571.1</v>
      </c>
      <c r="D403" s="402" t="s">
        <v>826</v>
      </c>
    </row>
    <row r="404" spans="1:4" ht="36.75" customHeight="1">
      <c r="A404" s="419"/>
      <c r="B404" s="400" t="s">
        <v>1052</v>
      </c>
      <c r="C404" s="404">
        <f>ROUND(Data!K2159,2)</f>
        <v>753.61</v>
      </c>
      <c r="D404" s="402" t="s">
        <v>826</v>
      </c>
    </row>
    <row r="405" spans="1:4" ht="36.75" customHeight="1">
      <c r="A405" s="399">
        <v>61.2</v>
      </c>
      <c r="B405" s="414" t="s">
        <v>1053</v>
      </c>
      <c r="C405" s="404"/>
      <c r="D405" s="402"/>
    </row>
    <row r="406" spans="1:4" ht="36.75" customHeight="1">
      <c r="A406" s="400"/>
      <c r="B406" s="400" t="s">
        <v>1054</v>
      </c>
      <c r="C406" s="404">
        <f>ROUND(Data!K2170,2)</f>
        <v>242.19</v>
      </c>
      <c r="D406" s="402" t="s">
        <v>826</v>
      </c>
    </row>
    <row r="407" spans="1:4" ht="36.75" customHeight="1">
      <c r="A407" s="419"/>
      <c r="B407" s="400" t="s">
        <v>1055</v>
      </c>
      <c r="C407" s="411">
        <f>ROUND(Data!K2185,2)</f>
        <v>356.15</v>
      </c>
      <c r="D407" s="402" t="s">
        <v>826</v>
      </c>
    </row>
    <row r="408" spans="1:4" ht="36.75" customHeight="1">
      <c r="A408" s="399">
        <v>62.1</v>
      </c>
      <c r="B408" s="400" t="s">
        <v>1056</v>
      </c>
      <c r="C408" s="404"/>
      <c r="D408" s="402"/>
    </row>
    <row r="409" spans="1:4" ht="36.75" customHeight="1">
      <c r="A409" s="400"/>
      <c r="B409" s="400" t="s">
        <v>1054</v>
      </c>
      <c r="C409" s="404">
        <f>ROUND(Data!K2194,2)</f>
        <v>104.1</v>
      </c>
      <c r="D409" s="402" t="s">
        <v>1398</v>
      </c>
    </row>
    <row r="410" spans="1:4" ht="36.75" customHeight="1">
      <c r="A410" s="419"/>
      <c r="B410" s="400" t="s">
        <v>1055</v>
      </c>
      <c r="C410" s="411">
        <f>ROUND(Data!K2201,2)</f>
        <v>143.15</v>
      </c>
      <c r="D410" s="402" t="s">
        <v>1398</v>
      </c>
    </row>
    <row r="411" spans="1:4" ht="36.75" customHeight="1">
      <c r="A411" s="399">
        <v>62.2</v>
      </c>
      <c r="B411" s="414" t="s">
        <v>1057</v>
      </c>
      <c r="C411" s="404"/>
      <c r="D411" s="402"/>
    </row>
    <row r="412" spans="1:4" ht="36.75" customHeight="1">
      <c r="A412" s="400"/>
      <c r="B412" s="400" t="s">
        <v>1054</v>
      </c>
      <c r="C412" s="404">
        <f>ROUND(Data!K2207,2)</f>
        <v>131</v>
      </c>
      <c r="D412" s="402" t="s">
        <v>1398</v>
      </c>
    </row>
    <row r="413" spans="1:4" ht="36.75" customHeight="1">
      <c r="A413" s="419"/>
      <c r="B413" s="400" t="s">
        <v>1055</v>
      </c>
      <c r="C413" s="404">
        <f>ROUND(Data!K2217,2)</f>
        <v>169.15</v>
      </c>
      <c r="D413" s="402" t="s">
        <v>1398</v>
      </c>
    </row>
    <row r="414" spans="1:4" ht="36.75" customHeight="1">
      <c r="A414" s="399">
        <v>63</v>
      </c>
      <c r="B414" s="400" t="s">
        <v>2140</v>
      </c>
      <c r="C414" s="411">
        <f>ROUND(Data!K2226,2)</f>
        <v>31.87</v>
      </c>
      <c r="D414" s="402" t="s">
        <v>1398</v>
      </c>
    </row>
    <row r="415" spans="1:4" ht="36.75" customHeight="1">
      <c r="A415" s="399"/>
      <c r="B415" s="414" t="s">
        <v>2141</v>
      </c>
      <c r="C415" s="404"/>
      <c r="D415" s="402"/>
    </row>
    <row r="416" spans="1:4" ht="36.75" customHeight="1">
      <c r="A416" s="399">
        <v>64</v>
      </c>
      <c r="B416" s="400" t="s">
        <v>2142</v>
      </c>
      <c r="C416" s="411">
        <f>Data!K2262</f>
        <v>1692.1</v>
      </c>
      <c r="D416" s="402" t="s">
        <v>1398</v>
      </c>
    </row>
    <row r="417" spans="1:4" ht="36.75" customHeight="1">
      <c r="A417" s="400"/>
      <c r="B417" s="400" t="s">
        <v>1270</v>
      </c>
      <c r="C417" s="411">
        <f>Data!K2263</f>
        <v>1695.1</v>
      </c>
      <c r="D417" s="402" t="s">
        <v>1398</v>
      </c>
    </row>
    <row r="418" spans="1:4" ht="36.75" customHeight="1">
      <c r="A418" s="419"/>
      <c r="B418" s="400" t="s">
        <v>299</v>
      </c>
      <c r="C418" s="411">
        <f>Data!K2264</f>
        <v>1732.1</v>
      </c>
      <c r="D418" s="402" t="s">
        <v>1398</v>
      </c>
    </row>
    <row r="419" spans="1:4" ht="36.75" customHeight="1">
      <c r="A419" s="399">
        <v>65</v>
      </c>
      <c r="B419" s="400" t="s">
        <v>300</v>
      </c>
      <c r="C419" s="411">
        <f>Data!K2265</f>
        <v>1767.1</v>
      </c>
      <c r="D419" s="402" t="s">
        <v>1398</v>
      </c>
    </row>
    <row r="420" spans="1:4" ht="36.75" customHeight="1">
      <c r="A420" s="399">
        <v>66</v>
      </c>
      <c r="B420" s="400" t="s">
        <v>301</v>
      </c>
      <c r="C420" s="411">
        <f>Data!K2266</f>
        <v>3176.2</v>
      </c>
      <c r="D420" s="402" t="s">
        <v>1398</v>
      </c>
    </row>
    <row r="421" spans="1:4" ht="36.75" customHeight="1">
      <c r="A421" s="399">
        <v>67</v>
      </c>
      <c r="B421" s="400" t="s">
        <v>1786</v>
      </c>
      <c r="C421" s="411">
        <f>Data!K2267</f>
        <v>869.5</v>
      </c>
      <c r="D421" s="402" t="s">
        <v>1398</v>
      </c>
    </row>
    <row r="422" spans="1:4" ht="36.75" customHeight="1">
      <c r="A422" s="399">
        <v>68</v>
      </c>
      <c r="B422" s="400" t="s">
        <v>1787</v>
      </c>
      <c r="C422" s="411">
        <f>Data!K2268</f>
        <v>1174.4000000000001</v>
      </c>
      <c r="D422" s="402" t="s">
        <v>1398</v>
      </c>
    </row>
    <row r="423" spans="1:4" s="410" customFormat="1" ht="36.75" customHeight="1">
      <c r="A423" s="406">
        <v>69</v>
      </c>
      <c r="B423" s="407" t="s">
        <v>1788</v>
      </c>
      <c r="C423" s="408">
        <f>Data!K2269</f>
        <v>150</v>
      </c>
      <c r="D423" s="409" t="s">
        <v>1398</v>
      </c>
    </row>
    <row r="424" spans="1:4" ht="36.75" customHeight="1">
      <c r="A424" s="399">
        <v>70.099999999999994</v>
      </c>
      <c r="B424" s="400" t="s">
        <v>1789</v>
      </c>
      <c r="C424" s="411">
        <f>Data!K2270</f>
        <v>529.20000000000005</v>
      </c>
      <c r="D424" s="402" t="s">
        <v>1398</v>
      </c>
    </row>
    <row r="425" spans="1:4" ht="36.75" customHeight="1">
      <c r="A425" s="399">
        <v>70.2</v>
      </c>
      <c r="B425" s="400" t="s">
        <v>1790</v>
      </c>
      <c r="C425" s="411"/>
      <c r="D425" s="402" t="s">
        <v>1398</v>
      </c>
    </row>
    <row r="426" spans="1:4" ht="36.75" customHeight="1">
      <c r="A426" s="399">
        <v>70.3</v>
      </c>
      <c r="B426" s="400" t="s">
        <v>1791</v>
      </c>
      <c r="C426" s="411">
        <f>Data!K2272</f>
        <v>9.4</v>
      </c>
      <c r="D426" s="402" t="s">
        <v>1398</v>
      </c>
    </row>
    <row r="427" spans="1:4" ht="36.75" customHeight="1">
      <c r="A427" s="399">
        <v>70.400000000000006</v>
      </c>
      <c r="B427" s="400" t="s">
        <v>1387</v>
      </c>
      <c r="C427" s="411">
        <f>Data!K2273</f>
        <v>10</v>
      </c>
      <c r="D427" s="402" t="s">
        <v>1398</v>
      </c>
    </row>
    <row r="428" spans="1:4" ht="36.75" customHeight="1">
      <c r="A428" s="399">
        <v>71</v>
      </c>
      <c r="B428" s="400" t="s">
        <v>1388</v>
      </c>
      <c r="C428" s="404">
        <f>Data!K2274</f>
        <v>1372.85</v>
      </c>
      <c r="D428" s="402" t="s">
        <v>1398</v>
      </c>
    </row>
    <row r="429" spans="1:4" ht="36.75" customHeight="1">
      <c r="A429" s="399">
        <v>72</v>
      </c>
      <c r="B429" s="400" t="s">
        <v>902</v>
      </c>
      <c r="C429" s="404">
        <f>Data!K2275</f>
        <v>33.9</v>
      </c>
      <c r="D429" s="402" t="s">
        <v>1398</v>
      </c>
    </row>
    <row r="430" spans="1:4" ht="36.75" customHeight="1">
      <c r="A430" s="400">
        <v>73.099999999999994</v>
      </c>
      <c r="B430" s="400" t="s">
        <v>903</v>
      </c>
      <c r="C430" s="404">
        <f>Data!K2276</f>
        <v>4248.34</v>
      </c>
      <c r="D430" s="402" t="s">
        <v>1398</v>
      </c>
    </row>
    <row r="431" spans="1:4" ht="36.75" customHeight="1">
      <c r="A431" s="399">
        <v>73.2</v>
      </c>
      <c r="B431" s="400" t="s">
        <v>904</v>
      </c>
      <c r="C431" s="411">
        <f>Data!K2277</f>
        <v>3466.34</v>
      </c>
      <c r="D431" s="402" t="s">
        <v>1398</v>
      </c>
    </row>
    <row r="432" spans="1:4" ht="36.75" customHeight="1">
      <c r="A432" s="399">
        <v>74</v>
      </c>
      <c r="B432" s="400" t="s">
        <v>905</v>
      </c>
      <c r="C432" s="404">
        <f>Data!K2278</f>
        <v>601.20000000000005</v>
      </c>
      <c r="D432" s="402" t="s">
        <v>1398</v>
      </c>
    </row>
    <row r="433" spans="1:4" ht="36.75" customHeight="1">
      <c r="A433" s="399">
        <v>75</v>
      </c>
      <c r="B433" s="414" t="s">
        <v>906</v>
      </c>
      <c r="C433" s="411"/>
      <c r="D433" s="402"/>
    </row>
    <row r="434" spans="1:4" ht="36.75" customHeight="1">
      <c r="A434" s="400"/>
      <c r="B434" s="400" t="s">
        <v>907</v>
      </c>
      <c r="C434" s="411"/>
      <c r="D434" s="402" t="s">
        <v>1398</v>
      </c>
    </row>
    <row r="435" spans="1:4" ht="36.75" customHeight="1">
      <c r="A435" s="419"/>
      <c r="B435" s="400" t="s">
        <v>908</v>
      </c>
      <c r="C435" s="411"/>
      <c r="D435" s="402" t="s">
        <v>1398</v>
      </c>
    </row>
    <row r="436" spans="1:4" ht="36.75" customHeight="1">
      <c r="A436" s="399">
        <v>76</v>
      </c>
      <c r="B436" s="400" t="s">
        <v>909</v>
      </c>
      <c r="C436" s="404">
        <f>Elec.Data!K463</f>
        <v>27.13</v>
      </c>
      <c r="D436" s="402" t="s">
        <v>826</v>
      </c>
    </row>
    <row r="437" spans="1:4" ht="36.75" customHeight="1">
      <c r="A437" s="399">
        <v>77</v>
      </c>
      <c r="B437" s="400" t="s">
        <v>910</v>
      </c>
      <c r="C437" s="411">
        <f>ROUND(Data!K2283,2)</f>
        <v>214.9</v>
      </c>
      <c r="D437" s="402" t="s">
        <v>826</v>
      </c>
    </row>
    <row r="438" spans="1:4" ht="36.75" customHeight="1">
      <c r="A438" s="399">
        <v>77.099999999999994</v>
      </c>
      <c r="B438" s="400" t="s">
        <v>1923</v>
      </c>
      <c r="C438" s="411">
        <f>ROUND(Data!K2284,2)</f>
        <v>272.89999999999998</v>
      </c>
      <c r="D438" s="402" t="s">
        <v>826</v>
      </c>
    </row>
    <row r="439" spans="1:4" ht="36.75" customHeight="1">
      <c r="A439" s="399">
        <v>77.2</v>
      </c>
      <c r="B439" s="400" t="s">
        <v>5465</v>
      </c>
      <c r="C439" s="411">
        <v>1879</v>
      </c>
      <c r="D439" s="402" t="s">
        <v>1398</v>
      </c>
    </row>
    <row r="440" spans="1:4" ht="36.75" customHeight="1">
      <c r="A440" s="399">
        <v>77.3</v>
      </c>
      <c r="B440" s="400" t="s">
        <v>1344</v>
      </c>
      <c r="C440" s="404">
        <f>Data!K2286</f>
        <v>77.010000000000005</v>
      </c>
      <c r="D440" s="402" t="s">
        <v>1398</v>
      </c>
    </row>
    <row r="441" spans="1:4" ht="36.75" customHeight="1">
      <c r="A441" s="399">
        <v>77.400000000000006</v>
      </c>
      <c r="B441" s="400" t="s">
        <v>1050</v>
      </c>
      <c r="C441" s="404">
        <f>Data!K2305</f>
        <v>88.71</v>
      </c>
      <c r="D441" s="402" t="s">
        <v>826</v>
      </c>
    </row>
    <row r="442" spans="1:4" ht="36.75" customHeight="1">
      <c r="A442" s="399">
        <v>78</v>
      </c>
      <c r="B442" s="400" t="s">
        <v>2166</v>
      </c>
      <c r="C442" s="404">
        <f>Data!K2287</f>
        <v>2997.6</v>
      </c>
      <c r="D442" s="402" t="s">
        <v>1398</v>
      </c>
    </row>
    <row r="443" spans="1:4" ht="36.75" customHeight="1">
      <c r="A443" s="399">
        <v>78.099999999999994</v>
      </c>
      <c r="B443" s="400" t="s">
        <v>2167</v>
      </c>
      <c r="C443" s="411"/>
      <c r="D443" s="402" t="s">
        <v>1398</v>
      </c>
    </row>
    <row r="444" spans="1:4" ht="36.75" customHeight="1">
      <c r="A444" s="399">
        <v>79.099999999999994</v>
      </c>
      <c r="B444" s="400" t="s">
        <v>2221</v>
      </c>
      <c r="C444" s="411">
        <f>Elec.Data!K569</f>
        <v>573</v>
      </c>
      <c r="D444" s="402" t="s">
        <v>1398</v>
      </c>
    </row>
    <row r="445" spans="1:4" ht="36.75" customHeight="1">
      <c r="A445" s="399">
        <v>79.2</v>
      </c>
      <c r="B445" s="400" t="s">
        <v>1189</v>
      </c>
      <c r="C445" s="411">
        <f>Elec.Data!K588</f>
        <v>852.12</v>
      </c>
      <c r="D445" s="402" t="s">
        <v>1398</v>
      </c>
    </row>
    <row r="446" spans="1:4" ht="36.75" customHeight="1">
      <c r="A446" s="399">
        <v>80</v>
      </c>
      <c r="B446" s="400" t="s">
        <v>634</v>
      </c>
      <c r="C446" s="404">
        <f>Data!K2288</f>
        <v>846</v>
      </c>
      <c r="D446" s="402" t="s">
        <v>1398</v>
      </c>
    </row>
    <row r="447" spans="1:4" s="410" customFormat="1" ht="36.75" customHeight="1">
      <c r="A447" s="406">
        <v>81</v>
      </c>
      <c r="B447" s="407" t="s">
        <v>291</v>
      </c>
      <c r="C447" s="408">
        <f>ROUND(Data!K2289,2)</f>
        <v>2543.1999999999998</v>
      </c>
      <c r="D447" s="409" t="s">
        <v>2283</v>
      </c>
    </row>
    <row r="448" spans="1:4" ht="36.75" customHeight="1">
      <c r="A448" s="436">
        <v>82</v>
      </c>
      <c r="B448" s="400" t="s">
        <v>1086</v>
      </c>
      <c r="C448" s="404">
        <f>ROUND(Data!K2290,2)</f>
        <v>3037.67</v>
      </c>
      <c r="D448" s="402" t="s">
        <v>1398</v>
      </c>
    </row>
    <row r="449" spans="1:4" ht="36.75" customHeight="1">
      <c r="A449" s="399">
        <v>83</v>
      </c>
      <c r="B449" s="400" t="s">
        <v>1190</v>
      </c>
      <c r="C449" s="411">
        <f>Elec.Data!K725</f>
        <v>190</v>
      </c>
      <c r="D449" s="402" t="s">
        <v>826</v>
      </c>
    </row>
    <row r="450" spans="1:4" ht="36.75" customHeight="1">
      <c r="A450" s="399">
        <v>84</v>
      </c>
      <c r="B450" s="400" t="s">
        <v>1191</v>
      </c>
      <c r="C450" s="411"/>
      <c r="D450" s="402" t="s">
        <v>826</v>
      </c>
    </row>
    <row r="451" spans="1:4" ht="36.75" customHeight="1">
      <c r="A451" s="399">
        <v>85</v>
      </c>
      <c r="B451" s="400" t="s">
        <v>1192</v>
      </c>
      <c r="C451" s="411">
        <f>Elec.Data!K684</f>
        <v>130</v>
      </c>
      <c r="D451" s="402" t="s">
        <v>826</v>
      </c>
    </row>
    <row r="452" spans="1:4" ht="36.75" customHeight="1">
      <c r="A452" s="436">
        <v>86</v>
      </c>
      <c r="B452" s="400" t="s">
        <v>243</v>
      </c>
      <c r="C452" s="437">
        <v>34</v>
      </c>
      <c r="D452" s="402" t="s">
        <v>1842</v>
      </c>
    </row>
    <row r="453" spans="1:4" ht="36.75" customHeight="1">
      <c r="A453" s="436">
        <v>87</v>
      </c>
      <c r="B453" s="400" t="s">
        <v>1884</v>
      </c>
      <c r="C453" s="404">
        <f>ROUND(Data!K2291,2)</f>
        <v>2717.8</v>
      </c>
      <c r="D453" s="402" t="s">
        <v>1398</v>
      </c>
    </row>
    <row r="454" spans="1:4" ht="36.75" customHeight="1">
      <c r="A454" s="399">
        <v>112</v>
      </c>
      <c r="B454" s="400" t="s">
        <v>3803</v>
      </c>
      <c r="C454" s="411">
        <f>ROUND(Data!K2281,2)</f>
        <v>2363.25</v>
      </c>
      <c r="D454" s="402" t="s">
        <v>1398</v>
      </c>
    </row>
    <row r="455" spans="1:4" ht="36.75" customHeight="1">
      <c r="A455" s="436">
        <v>238</v>
      </c>
      <c r="B455" s="400" t="s">
        <v>6192</v>
      </c>
      <c r="C455" s="411">
        <f>ROUND(Data!K1568,2)</f>
        <v>4672.5</v>
      </c>
      <c r="D455" s="402" t="s">
        <v>528</v>
      </c>
    </row>
    <row r="456" spans="1:4" ht="36.75" customHeight="1">
      <c r="A456" s="436"/>
      <c r="B456" s="438" t="s">
        <v>2889</v>
      </c>
      <c r="C456" s="404"/>
      <c r="D456" s="402"/>
    </row>
    <row r="457" spans="1:4" s="424" customFormat="1" ht="36.75" customHeight="1">
      <c r="A457" s="439" t="s">
        <v>995</v>
      </c>
      <c r="B457" s="415" t="s">
        <v>4738</v>
      </c>
      <c r="C457" s="408"/>
      <c r="D457" s="409"/>
    </row>
    <row r="458" spans="1:4" s="424" customFormat="1" ht="36.75" customHeight="1">
      <c r="A458" s="407"/>
      <c r="B458" s="407" t="s">
        <v>5100</v>
      </c>
      <c r="C458" s="408">
        <f>Data!AK538</f>
        <v>1494.9</v>
      </c>
      <c r="D458" s="409" t="s">
        <v>1842</v>
      </c>
    </row>
    <row r="459" spans="1:4" s="424" customFormat="1" ht="36.75" customHeight="1">
      <c r="A459" s="407"/>
      <c r="B459" s="407" t="s">
        <v>1386</v>
      </c>
      <c r="C459" s="408">
        <f>Data!AK539</f>
        <v>1499.67</v>
      </c>
      <c r="D459" s="409" t="s">
        <v>1842</v>
      </c>
    </row>
    <row r="460" spans="1:4" s="424" customFormat="1" ht="36.75" customHeight="1">
      <c r="A460" s="407"/>
      <c r="B460" s="407" t="s">
        <v>1434</v>
      </c>
      <c r="C460" s="408">
        <f>Data!AK540</f>
        <v>1504.44</v>
      </c>
      <c r="D460" s="409" t="s">
        <v>1842</v>
      </c>
    </row>
    <row r="461" spans="1:4" s="424" customFormat="1" ht="36.75" customHeight="1">
      <c r="A461" s="407"/>
      <c r="B461" s="407" t="s">
        <v>1324</v>
      </c>
      <c r="C461" s="408">
        <f>Data!AK541</f>
        <v>1509.21</v>
      </c>
      <c r="D461" s="409" t="s">
        <v>1842</v>
      </c>
    </row>
    <row r="462" spans="1:4" ht="36.75" customHeight="1">
      <c r="A462" s="419"/>
      <c r="B462" s="400" t="s">
        <v>1078</v>
      </c>
      <c r="C462" s="408">
        <f>Data!AK542</f>
        <v>1513.98</v>
      </c>
      <c r="D462" s="402" t="s">
        <v>1842</v>
      </c>
    </row>
    <row r="463" spans="1:4" s="424" customFormat="1" ht="36.75" customHeight="1">
      <c r="A463" s="439" t="s">
        <v>1128</v>
      </c>
      <c r="B463" s="415" t="s">
        <v>4739</v>
      </c>
      <c r="C463" s="408"/>
      <c r="D463" s="409"/>
    </row>
    <row r="464" spans="1:4" s="424" customFormat="1" ht="36.75" customHeight="1">
      <c r="A464" s="407"/>
      <c r="B464" s="407" t="s">
        <v>619</v>
      </c>
      <c r="C464" s="408">
        <f>Data!AK560</f>
        <v>2133.89</v>
      </c>
      <c r="D464" s="409" t="s">
        <v>1842</v>
      </c>
    </row>
    <row r="465" spans="1:4" s="424" customFormat="1" ht="36.75" customHeight="1">
      <c r="A465" s="407"/>
      <c r="B465" s="407" t="s">
        <v>5101</v>
      </c>
      <c r="C465" s="408">
        <f>Data!AK562</f>
        <v>2138.73</v>
      </c>
      <c r="D465" s="409" t="s">
        <v>1842</v>
      </c>
    </row>
    <row r="466" spans="1:4" s="424" customFormat="1" ht="36.75" customHeight="1">
      <c r="A466" s="407"/>
      <c r="B466" s="407" t="s">
        <v>1246</v>
      </c>
      <c r="C466" s="408">
        <f>Data!AK563</f>
        <v>2148.2600000000002</v>
      </c>
      <c r="D466" s="409" t="s">
        <v>1842</v>
      </c>
    </row>
    <row r="467" spans="1:4" s="424" customFormat="1" ht="36.75" customHeight="1">
      <c r="A467" s="407"/>
      <c r="B467" s="407" t="s">
        <v>680</v>
      </c>
      <c r="C467" s="408">
        <f>Data!AK564</f>
        <v>2157.79</v>
      </c>
      <c r="D467" s="409" t="s">
        <v>1842</v>
      </c>
    </row>
    <row r="468" spans="1:4" s="424" customFormat="1" ht="36.75" customHeight="1">
      <c r="A468" s="407"/>
      <c r="B468" s="407" t="s">
        <v>681</v>
      </c>
      <c r="C468" s="408">
        <f>Data!AK565</f>
        <v>2167.3200000000002</v>
      </c>
      <c r="D468" s="409" t="s">
        <v>1842</v>
      </c>
    </row>
    <row r="469" spans="1:4" ht="36.75" customHeight="1">
      <c r="A469" s="419"/>
      <c r="B469" s="400" t="s">
        <v>1273</v>
      </c>
      <c r="C469" s="408">
        <f>Data!AK566</f>
        <v>2176.85</v>
      </c>
      <c r="D469" s="402" t="s">
        <v>1842</v>
      </c>
    </row>
    <row r="470" spans="1:4" ht="36.75" customHeight="1">
      <c r="A470" s="432" t="s">
        <v>995</v>
      </c>
      <c r="B470" s="414" t="s">
        <v>4133</v>
      </c>
      <c r="C470" s="404"/>
      <c r="D470" s="402"/>
    </row>
    <row r="471" spans="1:4" ht="36.75" customHeight="1">
      <c r="A471" s="400"/>
      <c r="B471" s="400" t="s">
        <v>1252</v>
      </c>
      <c r="C471" s="404">
        <f>Data!AD538</f>
        <v>1491.98</v>
      </c>
      <c r="D471" s="402" t="s">
        <v>1842</v>
      </c>
    </row>
    <row r="472" spans="1:4" ht="36.75" customHeight="1">
      <c r="A472" s="400"/>
      <c r="B472" s="400" t="s">
        <v>1386</v>
      </c>
      <c r="C472" s="404">
        <f>Data!AD539</f>
        <v>1496.75</v>
      </c>
      <c r="D472" s="402" t="s">
        <v>1842</v>
      </c>
    </row>
    <row r="473" spans="1:4" ht="36.75" customHeight="1">
      <c r="A473" s="400"/>
      <c r="B473" s="400" t="s">
        <v>1434</v>
      </c>
      <c r="C473" s="404">
        <f>Data!AD540</f>
        <v>1501.52</v>
      </c>
      <c r="D473" s="402" t="s">
        <v>1842</v>
      </c>
    </row>
    <row r="474" spans="1:4" ht="36.75" customHeight="1">
      <c r="A474" s="400"/>
      <c r="B474" s="400" t="s">
        <v>1324</v>
      </c>
      <c r="C474" s="404">
        <f>Data!AD541</f>
        <v>1506.29</v>
      </c>
      <c r="D474" s="402" t="s">
        <v>1842</v>
      </c>
    </row>
    <row r="475" spans="1:4" ht="36.75" customHeight="1">
      <c r="A475" s="419"/>
      <c r="B475" s="400" t="s">
        <v>1078</v>
      </c>
      <c r="C475" s="404">
        <f>Data!AD542</f>
        <v>1511.06</v>
      </c>
      <c r="D475" s="402" t="s">
        <v>1842</v>
      </c>
    </row>
    <row r="476" spans="1:4" ht="36.75" customHeight="1">
      <c r="A476" s="432" t="s">
        <v>1128</v>
      </c>
      <c r="B476" s="414" t="s">
        <v>4134</v>
      </c>
      <c r="C476" s="404"/>
      <c r="D476" s="402"/>
    </row>
    <row r="477" spans="1:4" ht="36.75" customHeight="1">
      <c r="A477" s="400"/>
      <c r="B477" s="407" t="s">
        <v>619</v>
      </c>
      <c r="C477" s="404">
        <f>Data!AD560</f>
        <v>1649.7</v>
      </c>
      <c r="D477" s="402" t="s">
        <v>1842</v>
      </c>
    </row>
    <row r="478" spans="1:4" ht="36.75" customHeight="1">
      <c r="A478" s="400"/>
      <c r="B478" s="400" t="s">
        <v>620</v>
      </c>
      <c r="C478" s="404">
        <f>Data!AD562</f>
        <v>1654.54</v>
      </c>
      <c r="D478" s="402" t="s">
        <v>1842</v>
      </c>
    </row>
    <row r="479" spans="1:4" ht="36.75" customHeight="1">
      <c r="A479" s="400"/>
      <c r="B479" s="400" t="s">
        <v>1246</v>
      </c>
      <c r="C479" s="404">
        <f>Data!AD563</f>
        <v>1664.07</v>
      </c>
      <c r="D479" s="402" t="s">
        <v>1842</v>
      </c>
    </row>
    <row r="480" spans="1:4" ht="36.75" customHeight="1">
      <c r="A480" s="400"/>
      <c r="B480" s="400" t="s">
        <v>680</v>
      </c>
      <c r="C480" s="404">
        <f>Data!AD564</f>
        <v>1673.6</v>
      </c>
      <c r="D480" s="402" t="s">
        <v>1842</v>
      </c>
    </row>
    <row r="481" spans="1:4" ht="36.75" customHeight="1">
      <c r="A481" s="400"/>
      <c r="B481" s="400" t="s">
        <v>681</v>
      </c>
      <c r="C481" s="404">
        <f>Data!AD565</f>
        <v>1683.13</v>
      </c>
      <c r="D481" s="402" t="s">
        <v>1842</v>
      </c>
    </row>
    <row r="482" spans="1:4" ht="36.75" customHeight="1">
      <c r="A482" s="419"/>
      <c r="B482" s="400" t="s">
        <v>1273</v>
      </c>
      <c r="C482" s="404">
        <f>Data!AD566</f>
        <v>1692.66</v>
      </c>
      <c r="D482" s="402" t="s">
        <v>1842</v>
      </c>
    </row>
    <row r="483" spans="1:4" ht="36.75" customHeight="1">
      <c r="A483" s="419"/>
      <c r="B483" s="440" t="s">
        <v>6193</v>
      </c>
      <c r="C483" s="404"/>
      <c r="D483" s="402"/>
    </row>
    <row r="484" spans="1:4" ht="36.75" customHeight="1">
      <c r="A484" s="419"/>
      <c r="B484" s="400" t="s">
        <v>4237</v>
      </c>
      <c r="C484" s="404">
        <f>Data!AD487</f>
        <v>2981.45</v>
      </c>
      <c r="D484" s="402" t="s">
        <v>1842</v>
      </c>
    </row>
    <row r="485" spans="1:4" ht="36.75" customHeight="1">
      <c r="A485" s="419"/>
      <c r="B485" s="400" t="s">
        <v>1386</v>
      </c>
      <c r="C485" s="404">
        <f>Data!AD488</f>
        <v>2990.34</v>
      </c>
      <c r="D485" s="402" t="s">
        <v>1842</v>
      </c>
    </row>
    <row r="486" spans="1:4" ht="36.75" customHeight="1">
      <c r="A486" s="419"/>
      <c r="B486" s="400" t="s">
        <v>1434</v>
      </c>
      <c r="C486" s="404">
        <f>Data!AD489</f>
        <v>2999.23</v>
      </c>
      <c r="D486" s="402" t="s">
        <v>1842</v>
      </c>
    </row>
    <row r="487" spans="1:4" ht="36.75" customHeight="1">
      <c r="A487" s="419"/>
      <c r="B487" s="400" t="s">
        <v>1324</v>
      </c>
      <c r="C487" s="404">
        <f>Data!AD490</f>
        <v>3008.12</v>
      </c>
      <c r="D487" s="402" t="s">
        <v>1842</v>
      </c>
    </row>
    <row r="488" spans="1:4" ht="36.75" customHeight="1">
      <c r="A488" s="419"/>
      <c r="B488" s="400" t="s">
        <v>1078</v>
      </c>
      <c r="C488" s="404">
        <f>Data!AD491</f>
        <v>3017.01</v>
      </c>
      <c r="D488" s="402" t="s">
        <v>1842</v>
      </c>
    </row>
    <row r="489" spans="1:4" s="424" customFormat="1" ht="36.75" customHeight="1">
      <c r="A489" s="441"/>
      <c r="B489" s="407" t="s">
        <v>6194</v>
      </c>
      <c r="C489" s="408"/>
      <c r="D489" s="409"/>
    </row>
    <row r="490" spans="1:4" s="424" customFormat="1" ht="36.75" customHeight="1">
      <c r="A490" s="406"/>
      <c r="B490" s="407" t="s">
        <v>202</v>
      </c>
      <c r="C490" s="408">
        <f>Data!X487</f>
        <v>2960.99</v>
      </c>
      <c r="D490" s="409" t="s">
        <v>1842</v>
      </c>
    </row>
    <row r="491" spans="1:4" s="424" customFormat="1" ht="36.75" customHeight="1">
      <c r="A491" s="406"/>
      <c r="B491" s="407" t="s">
        <v>1386</v>
      </c>
      <c r="C491" s="408">
        <f>Data!X488</f>
        <v>2969.88</v>
      </c>
      <c r="D491" s="409" t="s">
        <v>1842</v>
      </c>
    </row>
    <row r="492" spans="1:4" s="424" customFormat="1" ht="36.75" customHeight="1">
      <c r="A492" s="406"/>
      <c r="B492" s="407" t="s">
        <v>1434</v>
      </c>
      <c r="C492" s="408">
        <f>Data!X489</f>
        <v>2978.77</v>
      </c>
      <c r="D492" s="409" t="s">
        <v>1842</v>
      </c>
    </row>
    <row r="493" spans="1:4" s="424" customFormat="1" ht="36.75" customHeight="1">
      <c r="A493" s="406"/>
      <c r="B493" s="407" t="s">
        <v>1324</v>
      </c>
      <c r="C493" s="408">
        <f>Data!X490</f>
        <v>2987.66</v>
      </c>
      <c r="D493" s="409" t="s">
        <v>1842</v>
      </c>
    </row>
    <row r="494" spans="1:4" s="424" customFormat="1" ht="36.75" customHeight="1">
      <c r="A494" s="442"/>
      <c r="B494" s="407" t="s">
        <v>1078</v>
      </c>
      <c r="C494" s="408">
        <f>Data!X491</f>
        <v>2996.55</v>
      </c>
      <c r="D494" s="409" t="s">
        <v>1842</v>
      </c>
    </row>
    <row r="495" spans="1:4" ht="36.75" customHeight="1">
      <c r="A495" s="417"/>
      <c r="B495" s="400" t="s">
        <v>3771</v>
      </c>
      <c r="C495" s="404">
        <f>Data!X492</f>
        <v>0</v>
      </c>
      <c r="D495" s="402" t="s">
        <v>1842</v>
      </c>
    </row>
    <row r="496" spans="1:4" ht="36.75" customHeight="1">
      <c r="A496" s="417"/>
      <c r="B496" s="415" t="s">
        <v>3992</v>
      </c>
      <c r="C496" s="404"/>
      <c r="D496" s="402"/>
    </row>
    <row r="497" spans="1:4" ht="36.75" customHeight="1">
      <c r="A497" s="417"/>
      <c r="B497" s="407" t="s">
        <v>544</v>
      </c>
      <c r="C497" s="404">
        <f>Data!X719</f>
        <v>7983.5</v>
      </c>
      <c r="D497" s="409" t="s">
        <v>2151</v>
      </c>
    </row>
    <row r="498" spans="1:4" ht="36.75" customHeight="1">
      <c r="A498" s="417"/>
      <c r="B498" s="407" t="s">
        <v>5078</v>
      </c>
      <c r="C498" s="404">
        <f>Data!X721</f>
        <v>8103.35</v>
      </c>
      <c r="D498" s="409" t="s">
        <v>2151</v>
      </c>
    </row>
    <row r="499" spans="1:4" ht="36.75" customHeight="1">
      <c r="A499" s="417"/>
      <c r="B499" s="407" t="str">
        <f>B507</f>
        <v>c. In First Floor</v>
      </c>
      <c r="C499" s="404">
        <f>Data!X722</f>
        <v>8339.4500000000007</v>
      </c>
      <c r="D499" s="409" t="s">
        <v>2151</v>
      </c>
    </row>
    <row r="500" spans="1:4" ht="36.75" customHeight="1">
      <c r="A500" s="417"/>
      <c r="B500" s="407" t="str">
        <f t="shared" ref="B500:B501" si="0">B508</f>
        <v>d. In Second Floor</v>
      </c>
      <c r="C500" s="404">
        <f>Data!X723</f>
        <v>8575.5499999999993</v>
      </c>
      <c r="D500" s="409" t="s">
        <v>2151</v>
      </c>
    </row>
    <row r="501" spans="1:4" ht="36.75" customHeight="1">
      <c r="A501" s="417"/>
      <c r="B501" s="407" t="str">
        <f t="shared" si="0"/>
        <v>e. In Third floor</v>
      </c>
      <c r="C501" s="404">
        <f>Data!X724</f>
        <v>8811.65</v>
      </c>
      <c r="D501" s="409" t="s">
        <v>2151</v>
      </c>
    </row>
    <row r="502" spans="1:4" ht="36.75" customHeight="1">
      <c r="A502" s="417"/>
      <c r="B502" s="400"/>
      <c r="C502" s="404"/>
      <c r="D502" s="402"/>
    </row>
    <row r="503" spans="1:4" ht="36.75" customHeight="1">
      <c r="A503" s="417"/>
      <c r="B503" s="400"/>
      <c r="C503" s="404"/>
      <c r="D503" s="402"/>
    </row>
    <row r="504" spans="1:4" s="410" customFormat="1" ht="36.75" customHeight="1">
      <c r="A504" s="443">
        <v>4.0999999999999996</v>
      </c>
      <c r="B504" s="415" t="s">
        <v>4626</v>
      </c>
      <c r="C504" s="408"/>
      <c r="D504" s="409"/>
    </row>
    <row r="505" spans="1:4" s="410" customFormat="1" ht="36.75" customHeight="1">
      <c r="A505" s="443"/>
      <c r="B505" s="407" t="s">
        <v>544</v>
      </c>
      <c r="C505" s="408">
        <f>Data!X743</f>
        <v>8172.16</v>
      </c>
      <c r="D505" s="409" t="s">
        <v>2151</v>
      </c>
    </row>
    <row r="506" spans="1:4" s="410" customFormat="1" ht="36.75" customHeight="1">
      <c r="A506" s="443">
        <v>8.1</v>
      </c>
      <c r="B506" s="407" t="s">
        <v>5078</v>
      </c>
      <c r="C506" s="408">
        <f>Data!X745</f>
        <v>8292.01</v>
      </c>
      <c r="D506" s="409" t="s">
        <v>2151</v>
      </c>
    </row>
    <row r="507" spans="1:4" s="410" customFormat="1" ht="36.75" customHeight="1">
      <c r="A507" s="443"/>
      <c r="B507" s="407" t="s">
        <v>547</v>
      </c>
      <c r="C507" s="408">
        <f>Data!X746</f>
        <v>8528.11</v>
      </c>
      <c r="D507" s="409" t="s">
        <v>2151</v>
      </c>
    </row>
    <row r="508" spans="1:4" s="410" customFormat="1" ht="36.75" customHeight="1">
      <c r="A508" s="443"/>
      <c r="B508" s="407" t="s">
        <v>1806</v>
      </c>
      <c r="C508" s="408">
        <f>Data!X747</f>
        <v>8764.2099999999991</v>
      </c>
      <c r="D508" s="409" t="s">
        <v>2151</v>
      </c>
    </row>
    <row r="509" spans="1:4" s="410" customFormat="1" ht="36.75" customHeight="1">
      <c r="A509" s="443"/>
      <c r="B509" s="407" t="s">
        <v>681</v>
      </c>
      <c r="C509" s="408">
        <f>Data!X748</f>
        <v>9000.31</v>
      </c>
      <c r="D509" s="409" t="s">
        <v>2151</v>
      </c>
    </row>
    <row r="510" spans="1:4" s="410" customFormat="1" ht="36.75" customHeight="1">
      <c r="A510" s="443"/>
      <c r="B510" s="407" t="s">
        <v>4009</v>
      </c>
      <c r="C510" s="408">
        <f>Data!X749</f>
        <v>9236.41</v>
      </c>
      <c r="D510" s="409" t="s">
        <v>2151</v>
      </c>
    </row>
    <row r="511" spans="1:4" s="410" customFormat="1" ht="36.75" customHeight="1">
      <c r="A511" s="443"/>
      <c r="B511" s="407" t="s">
        <v>4741</v>
      </c>
      <c r="C511" s="408">
        <f>Data!X750</f>
        <v>9330.61</v>
      </c>
      <c r="D511" s="409" t="s">
        <v>2151</v>
      </c>
    </row>
    <row r="512" spans="1:4" ht="36.75" customHeight="1">
      <c r="A512" s="436" t="s">
        <v>4011</v>
      </c>
      <c r="B512" s="444" t="s">
        <v>3991</v>
      </c>
      <c r="C512" s="404"/>
      <c r="D512" s="402"/>
    </row>
    <row r="513" spans="1:4" ht="36.75" customHeight="1">
      <c r="A513" s="436"/>
      <c r="B513" s="400" t="s">
        <v>544</v>
      </c>
      <c r="C513" s="404">
        <f>Data!X689</f>
        <v>8527.77</v>
      </c>
      <c r="D513" s="402" t="s">
        <v>2151</v>
      </c>
    </row>
    <row r="514" spans="1:4" ht="36.75" customHeight="1">
      <c r="A514" s="436"/>
      <c r="B514" s="400" t="s">
        <v>545</v>
      </c>
      <c r="C514" s="404">
        <f>Data!X691</f>
        <v>8647.6200000000008</v>
      </c>
      <c r="D514" s="402" t="s">
        <v>2151</v>
      </c>
    </row>
    <row r="515" spans="1:4" ht="36.75" customHeight="1">
      <c r="A515" s="436"/>
      <c r="B515" s="400" t="s">
        <v>547</v>
      </c>
      <c r="C515" s="404">
        <f>Data!X692</f>
        <v>8883.7199999999993</v>
      </c>
      <c r="D515" s="402" t="s">
        <v>2151</v>
      </c>
    </row>
    <row r="516" spans="1:4" ht="36.75" customHeight="1">
      <c r="A516" s="436"/>
      <c r="B516" s="400" t="s">
        <v>1806</v>
      </c>
      <c r="C516" s="404">
        <f>Data!X693</f>
        <v>9119.82</v>
      </c>
      <c r="D516" s="402" t="s">
        <v>2151</v>
      </c>
    </row>
    <row r="517" spans="1:4" ht="36.75" customHeight="1">
      <c r="A517" s="436"/>
      <c r="B517" s="400" t="s">
        <v>681</v>
      </c>
      <c r="C517" s="404">
        <f>Data!X694</f>
        <v>9355.92</v>
      </c>
      <c r="D517" s="402" t="s">
        <v>2151</v>
      </c>
    </row>
    <row r="518" spans="1:4" ht="36.75" customHeight="1">
      <c r="A518" s="436"/>
      <c r="B518" s="445" t="s">
        <v>3554</v>
      </c>
      <c r="C518" s="411"/>
      <c r="D518" s="402"/>
    </row>
    <row r="519" spans="1:4" ht="36.75" customHeight="1">
      <c r="A519" s="436"/>
      <c r="B519" s="446" t="s">
        <v>2128</v>
      </c>
      <c r="C519" s="411">
        <f>Data!R1184</f>
        <v>8381.56</v>
      </c>
      <c r="D519" s="402" t="s">
        <v>2151</v>
      </c>
    </row>
    <row r="520" spans="1:4" ht="36.75" customHeight="1">
      <c r="A520" s="436"/>
      <c r="B520" s="446" t="s">
        <v>3555</v>
      </c>
      <c r="C520" s="411">
        <f>Data!R1185</f>
        <v>8501.41</v>
      </c>
      <c r="D520" s="402" t="s">
        <v>2151</v>
      </c>
    </row>
    <row r="521" spans="1:4" ht="36.75" customHeight="1">
      <c r="A521" s="436"/>
      <c r="B521" s="414" t="s">
        <v>3556</v>
      </c>
      <c r="C521" s="411"/>
      <c r="D521" s="402"/>
    </row>
    <row r="522" spans="1:4" ht="36.75" customHeight="1">
      <c r="A522" s="436"/>
      <c r="B522" s="400" t="s">
        <v>544</v>
      </c>
      <c r="C522" s="411">
        <f>Data!R1157</f>
        <v>8305</v>
      </c>
      <c r="D522" s="402" t="s">
        <v>1197</v>
      </c>
    </row>
    <row r="523" spans="1:4" ht="36.75" customHeight="1">
      <c r="A523" s="436"/>
      <c r="B523" s="400" t="s">
        <v>3597</v>
      </c>
      <c r="C523" s="411">
        <f>Data!R1159</f>
        <v>8424.85</v>
      </c>
      <c r="D523" s="402" t="s">
        <v>1197</v>
      </c>
    </row>
    <row r="524" spans="1:4" ht="36.75" customHeight="1">
      <c r="A524" s="436"/>
      <c r="B524" s="400" t="s">
        <v>547</v>
      </c>
      <c r="C524" s="411">
        <f>Data!R1160</f>
        <v>8660.9500000000007</v>
      </c>
      <c r="D524" s="402" t="s">
        <v>1197</v>
      </c>
    </row>
    <row r="525" spans="1:4" ht="36.75" customHeight="1">
      <c r="A525" s="436"/>
      <c r="B525" s="400" t="s">
        <v>1806</v>
      </c>
      <c r="C525" s="411">
        <f>Data!R1161</f>
        <v>8897.0499999999993</v>
      </c>
      <c r="D525" s="402" t="s">
        <v>1197</v>
      </c>
    </row>
    <row r="526" spans="1:4" ht="36.75" customHeight="1">
      <c r="A526" s="436"/>
      <c r="B526" s="400" t="s">
        <v>681</v>
      </c>
      <c r="C526" s="411">
        <f>Data!R1162</f>
        <v>9133.15</v>
      </c>
      <c r="D526" s="402" t="s">
        <v>1197</v>
      </c>
    </row>
    <row r="527" spans="1:4" ht="36.75" customHeight="1">
      <c r="A527" s="436"/>
      <c r="B527" s="400" t="s">
        <v>1064</v>
      </c>
      <c r="C527" s="411">
        <f>Data!R1163</f>
        <v>9369.25</v>
      </c>
      <c r="D527" s="402" t="s">
        <v>1197</v>
      </c>
    </row>
    <row r="528" spans="1:4" ht="36.75" customHeight="1">
      <c r="A528" s="436"/>
      <c r="B528" s="400" t="s">
        <v>3557</v>
      </c>
      <c r="C528" s="411">
        <f>Data!R1164</f>
        <v>9605.35</v>
      </c>
      <c r="D528" s="402" t="s">
        <v>1197</v>
      </c>
    </row>
    <row r="529" spans="1:4" ht="36.75" customHeight="1">
      <c r="A529" s="436"/>
      <c r="B529" s="400" t="s">
        <v>3601</v>
      </c>
      <c r="C529" s="411">
        <f>Data!R1165</f>
        <v>9841.4500000000007</v>
      </c>
      <c r="D529" s="402" t="s">
        <v>1197</v>
      </c>
    </row>
    <row r="530" spans="1:4" ht="36.75" customHeight="1">
      <c r="A530" s="436"/>
      <c r="B530" s="400" t="s">
        <v>3558</v>
      </c>
      <c r="C530" s="411">
        <f>Data!R1166</f>
        <v>10077.549999999999</v>
      </c>
      <c r="D530" s="402" t="s">
        <v>1197</v>
      </c>
    </row>
    <row r="531" spans="1:4" ht="36.75" customHeight="1">
      <c r="A531" s="436"/>
      <c r="B531" s="446" t="s">
        <v>3559</v>
      </c>
      <c r="C531" s="411">
        <f>Data!R1167</f>
        <v>10313.65</v>
      </c>
      <c r="D531" s="402" t="s">
        <v>1197</v>
      </c>
    </row>
    <row r="532" spans="1:4" ht="36.75" customHeight="1">
      <c r="A532" s="436"/>
      <c r="B532" s="446" t="s">
        <v>3560</v>
      </c>
      <c r="C532" s="411">
        <f>Data!R1168</f>
        <v>10549.75</v>
      </c>
      <c r="D532" s="402" t="s">
        <v>1197</v>
      </c>
    </row>
    <row r="533" spans="1:4" ht="36.75" customHeight="1">
      <c r="A533" s="436"/>
      <c r="B533" s="446" t="s">
        <v>3561</v>
      </c>
      <c r="C533" s="411">
        <f>Data!R1169</f>
        <v>10785.85</v>
      </c>
      <c r="D533" s="402" t="s">
        <v>1197</v>
      </c>
    </row>
    <row r="534" spans="1:4" ht="36.75" customHeight="1">
      <c r="A534" s="436"/>
      <c r="B534" s="400" t="s">
        <v>3777</v>
      </c>
      <c r="C534" s="411">
        <f>Data!R1170</f>
        <v>11021.95</v>
      </c>
      <c r="D534" s="402" t="s">
        <v>1197</v>
      </c>
    </row>
    <row r="535" spans="1:4" ht="36.75" customHeight="1">
      <c r="A535" s="436"/>
      <c r="B535" s="400" t="s">
        <v>3778</v>
      </c>
      <c r="C535" s="411">
        <f>Data!R1171</f>
        <v>11258.05</v>
      </c>
      <c r="D535" s="402" t="s">
        <v>1197</v>
      </c>
    </row>
    <row r="536" spans="1:4" ht="36.75" customHeight="1">
      <c r="A536" s="436"/>
      <c r="B536" s="400" t="s">
        <v>3782</v>
      </c>
      <c r="C536" s="411">
        <f>Data!R1172</f>
        <v>11494.15</v>
      </c>
      <c r="D536" s="402" t="s">
        <v>1197</v>
      </c>
    </row>
    <row r="537" spans="1:4" ht="36.75" customHeight="1">
      <c r="A537" s="399">
        <v>6.2</v>
      </c>
      <c r="B537" s="414" t="s">
        <v>6195</v>
      </c>
      <c r="C537" s="404">
        <f>Data!AS74</f>
        <v>6943.45</v>
      </c>
      <c r="D537" s="402" t="s">
        <v>1197</v>
      </c>
    </row>
    <row r="538" spans="1:4" ht="36.75" customHeight="1">
      <c r="A538" s="399">
        <v>9.1999999999999993</v>
      </c>
      <c r="B538" s="414" t="s">
        <v>6196</v>
      </c>
      <c r="C538" s="411"/>
      <c r="D538" s="402"/>
    </row>
    <row r="539" spans="1:4" ht="36.75" customHeight="1">
      <c r="A539" s="436"/>
      <c r="B539" s="400" t="s">
        <v>5100</v>
      </c>
      <c r="C539" s="411">
        <f>Data!AS100</f>
        <v>6948.1</v>
      </c>
      <c r="D539" s="402" t="s">
        <v>1197</v>
      </c>
    </row>
    <row r="540" spans="1:4" ht="36.75" customHeight="1">
      <c r="A540" s="436"/>
      <c r="B540" s="400" t="s">
        <v>203</v>
      </c>
      <c r="C540" s="411">
        <f>Data!AS101</f>
        <v>7107.3</v>
      </c>
      <c r="D540" s="402" t="s">
        <v>1197</v>
      </c>
    </row>
    <row r="541" spans="1:4" ht="36.75" customHeight="1">
      <c r="A541" s="436"/>
      <c r="B541" s="400" t="s">
        <v>204</v>
      </c>
      <c r="C541" s="411">
        <f>Data!AS102</f>
        <v>7266.5</v>
      </c>
      <c r="D541" s="402" t="s">
        <v>1197</v>
      </c>
    </row>
    <row r="542" spans="1:4" ht="36.75" customHeight="1">
      <c r="A542" s="436"/>
      <c r="B542" s="400" t="s">
        <v>205</v>
      </c>
      <c r="C542" s="411">
        <f>Data!AS103</f>
        <v>7425.7</v>
      </c>
      <c r="D542" s="402" t="s">
        <v>1197</v>
      </c>
    </row>
    <row r="543" spans="1:4" ht="36.75" customHeight="1">
      <c r="A543" s="436"/>
      <c r="B543" s="400" t="s">
        <v>606</v>
      </c>
      <c r="C543" s="411">
        <f>Data!AS104</f>
        <v>7584.9</v>
      </c>
      <c r="D543" s="402" t="s">
        <v>1197</v>
      </c>
    </row>
    <row r="544" spans="1:4" ht="36.75" customHeight="1">
      <c r="A544" s="436"/>
      <c r="B544" s="400" t="s">
        <v>4737</v>
      </c>
      <c r="C544" s="411">
        <f>Data!AS105</f>
        <v>7744.1</v>
      </c>
      <c r="D544" s="402" t="s">
        <v>1197</v>
      </c>
    </row>
    <row r="545" spans="1:4" ht="36.75" customHeight="1">
      <c r="A545" s="399">
        <v>10.199999999999999</v>
      </c>
      <c r="B545" s="414" t="s">
        <v>6197</v>
      </c>
      <c r="C545" s="411"/>
      <c r="D545" s="402"/>
    </row>
    <row r="546" spans="1:4" ht="36.75" customHeight="1">
      <c r="A546" s="436"/>
      <c r="B546" s="400" t="s">
        <v>4953</v>
      </c>
      <c r="C546" s="411">
        <f>Data!AS154</f>
        <v>875.45</v>
      </c>
      <c r="D546" s="402" t="s">
        <v>2283</v>
      </c>
    </row>
    <row r="547" spans="1:4" ht="36.75" customHeight="1">
      <c r="A547" s="436"/>
      <c r="B547" s="400" t="s">
        <v>5101</v>
      </c>
      <c r="C547" s="411">
        <f>Data!AS156</f>
        <v>884.13</v>
      </c>
      <c r="D547" s="402" t="s">
        <v>2283</v>
      </c>
    </row>
    <row r="548" spans="1:4" ht="36.75" customHeight="1">
      <c r="A548" s="436"/>
      <c r="B548" s="400" t="s">
        <v>547</v>
      </c>
      <c r="C548" s="411">
        <f>Data!AS157</f>
        <v>901.64</v>
      </c>
      <c r="D548" s="402" t="s">
        <v>2283</v>
      </c>
    </row>
    <row r="549" spans="1:4" s="410" customFormat="1" ht="36.75" customHeight="1">
      <c r="A549" s="443"/>
      <c r="B549" s="400" t="s">
        <v>1806</v>
      </c>
      <c r="C549" s="411">
        <f>Data!AS158</f>
        <v>919.15</v>
      </c>
      <c r="D549" s="402" t="s">
        <v>2283</v>
      </c>
    </row>
    <row r="550" spans="1:4" ht="36.75" customHeight="1">
      <c r="A550" s="436"/>
      <c r="B550" s="400" t="s">
        <v>2215</v>
      </c>
      <c r="C550" s="411">
        <f>Data!AS159</f>
        <v>936.66</v>
      </c>
      <c r="D550" s="402" t="s">
        <v>2283</v>
      </c>
    </row>
    <row r="551" spans="1:4" ht="36.75" customHeight="1">
      <c r="A551" s="436"/>
      <c r="B551" s="400" t="s">
        <v>1064</v>
      </c>
      <c r="C551" s="411">
        <f>Data!AS160</f>
        <v>954.17</v>
      </c>
      <c r="D551" s="402" t="s">
        <v>2283</v>
      </c>
    </row>
    <row r="552" spans="1:4" ht="36.75" customHeight="1">
      <c r="A552" s="436"/>
      <c r="B552" s="400" t="s">
        <v>3557</v>
      </c>
      <c r="C552" s="411">
        <f>Data!AS161</f>
        <v>0</v>
      </c>
      <c r="D552" s="402" t="s">
        <v>2283</v>
      </c>
    </row>
    <row r="553" spans="1:4" ht="36.75" customHeight="1">
      <c r="A553" s="399">
        <v>11.2</v>
      </c>
      <c r="B553" s="414" t="s">
        <v>6198</v>
      </c>
      <c r="C553" s="411"/>
      <c r="D553" s="402"/>
    </row>
    <row r="554" spans="1:4" ht="36.75" customHeight="1">
      <c r="A554" s="436"/>
      <c r="B554" s="400" t="s">
        <v>5100</v>
      </c>
      <c r="C554" s="411">
        <f>Data!AS188</f>
        <v>598.95000000000005</v>
      </c>
      <c r="D554" s="402" t="s">
        <v>2283</v>
      </c>
    </row>
    <row r="555" spans="1:4" ht="36.75" customHeight="1">
      <c r="A555" s="436"/>
      <c r="B555" s="400" t="s">
        <v>203</v>
      </c>
      <c r="C555" s="411">
        <f>Data!AS189</f>
        <v>610.09</v>
      </c>
      <c r="D555" s="402" t="s">
        <v>2283</v>
      </c>
    </row>
    <row r="556" spans="1:4" ht="36.75" customHeight="1">
      <c r="A556" s="436"/>
      <c r="B556" s="400" t="s">
        <v>204</v>
      </c>
      <c r="C556" s="411">
        <f>Data!AS190</f>
        <v>621.23</v>
      </c>
      <c r="D556" s="402" t="s">
        <v>2283</v>
      </c>
    </row>
    <row r="557" spans="1:4" ht="36.75" customHeight="1">
      <c r="A557" s="436"/>
      <c r="B557" s="400" t="s">
        <v>205</v>
      </c>
      <c r="C557" s="411">
        <f>Data!AS191</f>
        <v>632.37</v>
      </c>
      <c r="D557" s="402" t="s">
        <v>2283</v>
      </c>
    </row>
    <row r="558" spans="1:4" ht="36.75" customHeight="1">
      <c r="A558" s="436"/>
      <c r="B558" s="400" t="s">
        <v>606</v>
      </c>
      <c r="C558" s="411">
        <f>Data!AS192</f>
        <v>643.51</v>
      </c>
      <c r="D558" s="402" t="s">
        <v>2283</v>
      </c>
    </row>
    <row r="559" spans="1:4" ht="36.75" customHeight="1">
      <c r="A559" s="436"/>
      <c r="B559" s="400" t="s">
        <v>3800</v>
      </c>
      <c r="C559" s="411">
        <f>Data!K3516</f>
        <v>3477.95</v>
      </c>
      <c r="D559" s="402" t="s">
        <v>2151</v>
      </c>
    </row>
    <row r="560" spans="1:4" ht="36.75" customHeight="1">
      <c r="A560" s="436"/>
      <c r="B560" s="446" t="s">
        <v>4383</v>
      </c>
      <c r="C560" s="411">
        <f>Data!R155</f>
        <v>226.57</v>
      </c>
      <c r="D560" s="402" t="s">
        <v>1197</v>
      </c>
    </row>
    <row r="561" spans="1:4" ht="36.75" customHeight="1">
      <c r="A561" s="411"/>
      <c r="B561" s="400" t="s">
        <v>3693</v>
      </c>
      <c r="C561" s="404">
        <f>Data!K1443</f>
        <v>281.47000000000003</v>
      </c>
      <c r="D561" s="402" t="s">
        <v>2283</v>
      </c>
    </row>
    <row r="562" spans="1:4" s="448" customFormat="1" ht="36.75" customHeight="1">
      <c r="A562" s="447"/>
      <c r="B562" s="400" t="s">
        <v>3691</v>
      </c>
      <c r="C562" s="400">
        <f>Data!R145</f>
        <v>296.60000000000002</v>
      </c>
      <c r="D562" s="400" t="s">
        <v>2151</v>
      </c>
    </row>
    <row r="563" spans="1:4" s="410" customFormat="1" ht="36.75" customHeight="1">
      <c r="A563" s="449"/>
      <c r="B563" s="407" t="s">
        <v>6199</v>
      </c>
      <c r="C563" s="412">
        <f>Data!K369</f>
        <v>7064.68</v>
      </c>
      <c r="D563" s="409" t="s">
        <v>2151</v>
      </c>
    </row>
    <row r="564" spans="1:4" ht="36.75" customHeight="1">
      <c r="A564" s="450"/>
      <c r="B564" s="400" t="s">
        <v>6200</v>
      </c>
      <c r="C564" s="411">
        <f>Data!K370</f>
        <v>7223.88</v>
      </c>
      <c r="D564" s="451" t="s">
        <v>2151</v>
      </c>
    </row>
    <row r="565" spans="1:4" s="410" customFormat="1" ht="36.75" customHeight="1">
      <c r="A565" s="449"/>
      <c r="B565" s="407" t="s">
        <v>6201</v>
      </c>
      <c r="C565" s="412">
        <f>Data!$K$371</f>
        <v>7383.08</v>
      </c>
      <c r="D565" s="409" t="s">
        <v>2151</v>
      </c>
    </row>
    <row r="566" spans="1:4" s="410" customFormat="1" ht="36.75" customHeight="1">
      <c r="A566" s="449"/>
      <c r="B566" s="407" t="s">
        <v>6202</v>
      </c>
      <c r="C566" s="412">
        <f>Data!K372</f>
        <v>7542.28</v>
      </c>
      <c r="D566" s="409" t="s">
        <v>2151</v>
      </c>
    </row>
    <row r="567" spans="1:4" ht="36.75" customHeight="1">
      <c r="A567" s="419"/>
      <c r="B567" s="400" t="s">
        <v>6203</v>
      </c>
      <c r="C567" s="411">
        <f>Data!X89</f>
        <v>161.1</v>
      </c>
      <c r="D567" s="402"/>
    </row>
    <row r="568" spans="1:4" ht="36.75" customHeight="1">
      <c r="A568" s="419"/>
      <c r="B568" s="400" t="s">
        <v>6204</v>
      </c>
      <c r="C568" s="411">
        <f>Data!X119</f>
        <v>74.849999999999994</v>
      </c>
      <c r="D568" s="402"/>
    </row>
    <row r="569" spans="1:4" ht="36.75" customHeight="1">
      <c r="A569" s="419"/>
      <c r="B569" s="400" t="s">
        <v>6205</v>
      </c>
      <c r="C569" s="411">
        <f>Data!X134</f>
        <v>112.28</v>
      </c>
      <c r="D569" s="402"/>
    </row>
    <row r="570" spans="1:4" ht="36.75" customHeight="1">
      <c r="A570" s="436">
        <v>8.4</v>
      </c>
      <c r="B570" s="414" t="s">
        <v>234</v>
      </c>
      <c r="C570" s="411"/>
      <c r="D570" s="402"/>
    </row>
    <row r="571" spans="1:4" ht="36.75" customHeight="1">
      <c r="A571" s="436"/>
      <c r="B571" s="400" t="s">
        <v>2128</v>
      </c>
      <c r="C571" s="411">
        <f>ROUND(Data!K2912,2)</f>
        <v>7256.37</v>
      </c>
      <c r="D571" s="402" t="s">
        <v>2151</v>
      </c>
    </row>
    <row r="572" spans="1:4" ht="36.75" customHeight="1">
      <c r="A572" s="436"/>
      <c r="B572" s="400" t="s">
        <v>2129</v>
      </c>
      <c r="C572" s="411">
        <f>ROUND(Data!K2914,2)</f>
        <v>7376.22</v>
      </c>
      <c r="D572" s="402" t="s">
        <v>2151</v>
      </c>
    </row>
    <row r="573" spans="1:4" ht="36.75" customHeight="1">
      <c r="A573" s="436"/>
      <c r="B573" s="400" t="s">
        <v>2130</v>
      </c>
      <c r="C573" s="411">
        <f>ROUND(Data!K2915,2)</f>
        <v>7612.32</v>
      </c>
      <c r="D573" s="402" t="s">
        <v>2151</v>
      </c>
    </row>
    <row r="574" spans="1:4" ht="36.75" customHeight="1">
      <c r="A574" s="419"/>
      <c r="B574" s="400" t="s">
        <v>2131</v>
      </c>
      <c r="C574" s="411">
        <f>ROUND(Data!K2916,2)</f>
        <v>7848.42</v>
      </c>
      <c r="D574" s="402" t="s">
        <v>2151</v>
      </c>
    </row>
    <row r="575" spans="1:4" ht="36.75" customHeight="1">
      <c r="A575" s="436">
        <v>8.5</v>
      </c>
      <c r="B575" s="414" t="s">
        <v>1692</v>
      </c>
      <c r="C575" s="411"/>
      <c r="D575" s="402"/>
    </row>
    <row r="576" spans="1:4" ht="36.75" customHeight="1">
      <c r="A576" s="436"/>
      <c r="B576" s="400" t="s">
        <v>235</v>
      </c>
      <c r="C576" s="411">
        <f>ROUND(Data!K2932,2)</f>
        <v>690.75</v>
      </c>
      <c r="D576" s="402" t="s">
        <v>826</v>
      </c>
    </row>
    <row r="577" spans="1:4" ht="36.75" customHeight="1">
      <c r="A577" s="436"/>
      <c r="B577" s="400" t="s">
        <v>236</v>
      </c>
      <c r="C577" s="411">
        <f>ROUND(Data!K2941,2)</f>
        <v>694.8</v>
      </c>
      <c r="D577" s="402" t="s">
        <v>826</v>
      </c>
    </row>
    <row r="578" spans="1:4" ht="36.75" customHeight="1">
      <c r="A578" s="399"/>
      <c r="B578" s="400" t="s">
        <v>237</v>
      </c>
      <c r="C578" s="411">
        <f>ROUND(Data!K2951,2)</f>
        <v>698.84</v>
      </c>
      <c r="D578" s="402" t="s">
        <v>826</v>
      </c>
    </row>
    <row r="579" spans="1:4" ht="36.75" customHeight="1">
      <c r="A579" s="419"/>
      <c r="B579" s="414" t="s">
        <v>4489</v>
      </c>
      <c r="C579" s="419"/>
      <c r="D579" s="419"/>
    </row>
    <row r="580" spans="1:4" ht="36.75" customHeight="1">
      <c r="A580" s="419"/>
      <c r="B580" s="414" t="s">
        <v>4130</v>
      </c>
      <c r="C580" s="400">
        <f>'pile data '!F17</f>
        <v>3249.26</v>
      </c>
      <c r="D580" s="400" t="s">
        <v>826</v>
      </c>
    </row>
    <row r="581" spans="1:4" ht="36.75" customHeight="1">
      <c r="A581" s="419"/>
      <c r="B581" s="414" t="s">
        <v>4131</v>
      </c>
      <c r="C581" s="400">
        <f>'pile data '!F81</f>
        <v>4073.97</v>
      </c>
      <c r="D581" s="400" t="s">
        <v>826</v>
      </c>
    </row>
    <row r="582" spans="1:4" ht="36.75" customHeight="1">
      <c r="A582" s="399"/>
      <c r="B582" s="414" t="s">
        <v>4132</v>
      </c>
      <c r="C582" s="400">
        <f>'pile data '!F141</f>
        <v>2490.3200000000002</v>
      </c>
      <c r="D582" s="400" t="s">
        <v>826</v>
      </c>
    </row>
    <row r="583" spans="1:4" ht="36.75" customHeight="1">
      <c r="A583" s="399"/>
      <c r="B583" s="452" t="s">
        <v>4490</v>
      </c>
      <c r="C583" s="411"/>
      <c r="D583" s="402"/>
    </row>
    <row r="584" spans="1:4" ht="36.75" customHeight="1">
      <c r="A584" s="399"/>
      <c r="B584" s="414" t="s">
        <v>4130</v>
      </c>
      <c r="C584" s="453">
        <f>'pile data '!F17</f>
        <v>3249.26</v>
      </c>
      <c r="D584" s="454" t="s">
        <v>826</v>
      </c>
    </row>
    <row r="585" spans="1:4" ht="36.75" customHeight="1">
      <c r="A585" s="399"/>
      <c r="B585" s="414" t="s">
        <v>4131</v>
      </c>
      <c r="C585" s="411">
        <f>'pile data '!F92</f>
        <v>1813.89</v>
      </c>
      <c r="D585" s="402"/>
    </row>
    <row r="586" spans="1:4" ht="36.75" customHeight="1">
      <c r="A586" s="399"/>
      <c r="B586" s="414" t="s">
        <v>4132</v>
      </c>
      <c r="C586" s="453">
        <f>'pile data '!F152</f>
        <v>816.25</v>
      </c>
      <c r="D586" s="454" t="s">
        <v>826</v>
      </c>
    </row>
    <row r="587" spans="1:4" ht="36.75" customHeight="1">
      <c r="A587" s="399"/>
      <c r="B587" s="452" t="s">
        <v>3780</v>
      </c>
      <c r="C587" s="453">
        <v>70000</v>
      </c>
      <c r="D587" s="455" t="s">
        <v>1432</v>
      </c>
    </row>
    <row r="588" spans="1:4" ht="36.75" customHeight="1">
      <c r="A588" s="399"/>
      <c r="B588" s="452" t="s">
        <v>3781</v>
      </c>
      <c r="C588" s="453">
        <v>50000</v>
      </c>
      <c r="D588" s="455" t="s">
        <v>282</v>
      </c>
    </row>
    <row r="589" spans="1:4" ht="36.75" customHeight="1">
      <c r="A589" s="399"/>
      <c r="B589" s="452" t="s">
        <v>3784</v>
      </c>
      <c r="C589" s="453">
        <f>Data!K2449</f>
        <v>771.94</v>
      </c>
      <c r="D589" s="455" t="s">
        <v>2283</v>
      </c>
    </row>
    <row r="590" spans="1:4" ht="36.75" customHeight="1">
      <c r="A590" s="456">
        <v>3.8</v>
      </c>
      <c r="B590" s="440" t="s">
        <v>4385</v>
      </c>
      <c r="C590" s="440">
        <f>Data!R205</f>
        <v>5787.12</v>
      </c>
      <c r="D590" s="457" t="s">
        <v>2151</v>
      </c>
    </row>
    <row r="591" spans="1:4" ht="36.75" customHeight="1">
      <c r="A591" s="440">
        <v>3.3</v>
      </c>
      <c r="B591" s="440" t="s">
        <v>4384</v>
      </c>
      <c r="C591" s="440">
        <f>Data!R241</f>
        <v>5083.68</v>
      </c>
      <c r="D591" s="457" t="s">
        <v>2151</v>
      </c>
    </row>
    <row r="592" spans="1:4" ht="36.75" customHeight="1">
      <c r="A592" s="440"/>
      <c r="B592" s="440" t="s">
        <v>3516</v>
      </c>
      <c r="C592" s="440">
        <f>Data!X205</f>
        <v>5409.84</v>
      </c>
      <c r="D592" s="455" t="s">
        <v>2151</v>
      </c>
    </row>
    <row r="593" spans="1:4" ht="36.75" customHeight="1">
      <c r="A593" s="399">
        <v>18.100000000000001</v>
      </c>
      <c r="B593" s="414" t="s">
        <v>197</v>
      </c>
      <c r="C593" s="404"/>
      <c r="D593" s="402"/>
    </row>
    <row r="594" spans="1:4" ht="36.75" customHeight="1">
      <c r="A594" s="399"/>
      <c r="B594" s="400" t="s">
        <v>1827</v>
      </c>
      <c r="C594" s="404">
        <f>ROUND(Data!I2355,2)</f>
        <v>848.08</v>
      </c>
      <c r="D594" s="402" t="s">
        <v>2283</v>
      </c>
    </row>
    <row r="595" spans="1:4" ht="36.75" customHeight="1">
      <c r="A595" s="399"/>
      <c r="B595" s="400" t="s">
        <v>1075</v>
      </c>
      <c r="C595" s="404">
        <f>ROUND(Data!I2357,2)</f>
        <v>946.62</v>
      </c>
      <c r="D595" s="402" t="s">
        <v>2283</v>
      </c>
    </row>
    <row r="596" spans="1:4" ht="36.75" customHeight="1">
      <c r="A596" s="400"/>
      <c r="B596" s="400" t="s">
        <v>1655</v>
      </c>
      <c r="C596" s="404">
        <f>ROUND(Data!I2359,2)</f>
        <v>1135.94</v>
      </c>
      <c r="D596" s="402" t="s">
        <v>2283</v>
      </c>
    </row>
    <row r="597" spans="1:4" ht="36.75" customHeight="1">
      <c r="A597" s="411"/>
      <c r="B597" s="400" t="s">
        <v>3990</v>
      </c>
      <c r="C597" s="411">
        <f>Data!I2361</f>
        <v>1041.28</v>
      </c>
      <c r="D597" s="402" t="s">
        <v>2283</v>
      </c>
    </row>
    <row r="598" spans="1:4" ht="36.75" customHeight="1">
      <c r="A598" s="419"/>
      <c r="B598" s="400" t="s">
        <v>3804</v>
      </c>
      <c r="C598" s="404">
        <f>C596*2</f>
        <v>2271.88</v>
      </c>
      <c r="D598" s="402" t="s">
        <v>2283</v>
      </c>
    </row>
    <row r="599" spans="1:4" ht="36.75" customHeight="1">
      <c r="A599" s="419"/>
      <c r="B599" s="400" t="s">
        <v>3807</v>
      </c>
      <c r="C599" s="404">
        <f>C595*1.5</f>
        <v>1419.93</v>
      </c>
      <c r="D599" s="402" t="s">
        <v>2283</v>
      </c>
    </row>
    <row r="600" spans="1:4" ht="36.75" customHeight="1">
      <c r="A600" s="419"/>
      <c r="B600" s="400" t="s">
        <v>3594</v>
      </c>
      <c r="C600" s="411">
        <f>C595*2</f>
        <v>1893.24</v>
      </c>
      <c r="D600" s="402" t="s">
        <v>2283</v>
      </c>
    </row>
    <row r="601" spans="1:4" ht="36.75" customHeight="1">
      <c r="A601" s="399">
        <v>21.6</v>
      </c>
      <c r="B601" s="414" t="s">
        <v>4676</v>
      </c>
      <c r="C601" s="404"/>
      <c r="D601" s="402"/>
    </row>
    <row r="602" spans="1:4" ht="36.75" customHeight="1">
      <c r="A602" s="435"/>
      <c r="B602" s="400" t="s">
        <v>573</v>
      </c>
      <c r="C602" s="404">
        <f>ROUND(Data!K890,2)</f>
        <v>2772</v>
      </c>
      <c r="D602" s="404" t="s">
        <v>1398</v>
      </c>
    </row>
    <row r="603" spans="1:4" ht="36.75" customHeight="1">
      <c r="A603" s="435"/>
      <c r="B603" s="400" t="s">
        <v>3790</v>
      </c>
      <c r="C603" s="404">
        <f>Data!R865</f>
        <v>3312.75</v>
      </c>
      <c r="D603" s="404" t="s">
        <v>1398</v>
      </c>
    </row>
    <row r="604" spans="1:4" ht="36.75" customHeight="1">
      <c r="A604" s="435"/>
      <c r="B604" s="400" t="s">
        <v>1904</v>
      </c>
      <c r="C604" s="404">
        <f>ROUND(Data!K872,2)</f>
        <v>2793.85</v>
      </c>
      <c r="D604" s="404" t="s">
        <v>1398</v>
      </c>
    </row>
    <row r="605" spans="1:4" ht="36.75" customHeight="1">
      <c r="A605" s="435"/>
      <c r="B605" s="400" t="s">
        <v>3694</v>
      </c>
      <c r="C605" s="404">
        <f>Data!K906</f>
        <v>2734.7</v>
      </c>
      <c r="D605" s="404" t="s">
        <v>1398</v>
      </c>
    </row>
    <row r="606" spans="1:4" ht="36.75" customHeight="1">
      <c r="A606" s="419"/>
      <c r="B606" s="414" t="s">
        <v>3828</v>
      </c>
      <c r="C606" s="411"/>
      <c r="D606" s="402"/>
    </row>
    <row r="607" spans="1:4" ht="36.75" customHeight="1">
      <c r="A607" s="419"/>
      <c r="B607" s="400" t="s">
        <v>1367</v>
      </c>
      <c r="C607" s="411">
        <f>Data!K1082</f>
        <v>3597.23</v>
      </c>
      <c r="D607" s="402" t="s">
        <v>1842</v>
      </c>
    </row>
    <row r="608" spans="1:4" ht="36.75" customHeight="1">
      <c r="A608" s="419"/>
      <c r="B608" s="400" t="s">
        <v>270</v>
      </c>
      <c r="C608" s="411"/>
      <c r="D608" s="402" t="s">
        <v>1842</v>
      </c>
    </row>
    <row r="609" spans="1:4" ht="36.75" customHeight="1">
      <c r="A609" s="419"/>
      <c r="B609" s="400" t="s">
        <v>271</v>
      </c>
      <c r="C609" s="411">
        <f>Data!K1098</f>
        <v>3796.08</v>
      </c>
      <c r="D609" s="402" t="s">
        <v>1842</v>
      </c>
    </row>
    <row r="610" spans="1:4" ht="36.75" customHeight="1">
      <c r="A610" s="419"/>
      <c r="B610" s="400" t="s">
        <v>272</v>
      </c>
      <c r="C610" s="411">
        <f>Data!K1113</f>
        <v>2804.85</v>
      </c>
      <c r="D610" s="402" t="s">
        <v>1842</v>
      </c>
    </row>
    <row r="611" spans="1:4" ht="36.75" customHeight="1">
      <c r="A611" s="419"/>
      <c r="B611" s="400" t="s">
        <v>3811</v>
      </c>
      <c r="C611" s="411">
        <v>2203.2800000000002</v>
      </c>
      <c r="D611" s="402" t="s">
        <v>1842</v>
      </c>
    </row>
    <row r="612" spans="1:4" s="410" customFormat="1" ht="36.75" customHeight="1">
      <c r="A612" s="443" t="s">
        <v>1693</v>
      </c>
      <c r="B612" s="407" t="s">
        <v>1299</v>
      </c>
      <c r="C612" s="458">
        <f>Data!K2878</f>
        <v>1921.32</v>
      </c>
      <c r="D612" s="459" t="s">
        <v>2283</v>
      </c>
    </row>
    <row r="613" spans="1:4" ht="36.75" customHeight="1">
      <c r="A613" s="436"/>
      <c r="B613" s="400" t="s">
        <v>1520</v>
      </c>
      <c r="C613" s="404">
        <f>ROUND(Data!K3115,2)</f>
        <v>4253.0600000000004</v>
      </c>
      <c r="D613" s="402" t="s">
        <v>2283</v>
      </c>
    </row>
    <row r="614" spans="1:4" s="464" customFormat="1" ht="36.75" customHeight="1">
      <c r="A614" s="460">
        <v>22.8</v>
      </c>
      <c r="B614" s="461" t="s">
        <v>1987</v>
      </c>
      <c r="C614" s="462"/>
      <c r="D614" s="463"/>
    </row>
    <row r="615" spans="1:4" s="464" customFormat="1" ht="36.75" customHeight="1">
      <c r="A615" s="465"/>
      <c r="B615" s="461" t="s">
        <v>1988</v>
      </c>
      <c r="C615" s="462">
        <f>ROUND(Data!K2846,2)</f>
        <v>2592.73</v>
      </c>
      <c r="D615" s="463" t="s">
        <v>2283</v>
      </c>
    </row>
    <row r="616" spans="1:4" s="464" customFormat="1" ht="36.75" customHeight="1">
      <c r="A616" s="465"/>
      <c r="B616" s="461" t="s">
        <v>696</v>
      </c>
      <c r="C616" s="462">
        <f>ROUND(Data!K2982,2)</f>
        <v>2638.65</v>
      </c>
      <c r="D616" s="463" t="s">
        <v>2283</v>
      </c>
    </row>
    <row r="617" spans="1:4" s="464" customFormat="1" ht="36.75" customHeight="1">
      <c r="A617" s="466"/>
      <c r="B617" s="461" t="s">
        <v>229</v>
      </c>
      <c r="C617" s="462"/>
      <c r="D617" s="463" t="s">
        <v>2283</v>
      </c>
    </row>
    <row r="618" spans="1:4" ht="36.75" customHeight="1">
      <c r="A618" s="411"/>
      <c r="B618" s="414" t="s">
        <v>5138</v>
      </c>
      <c r="C618" s="404"/>
      <c r="D618" s="402"/>
    </row>
    <row r="619" spans="1:4" s="410" customFormat="1" ht="36.75" customHeight="1">
      <c r="A619" s="412"/>
      <c r="B619" s="407" t="s">
        <v>4377</v>
      </c>
      <c r="C619" s="467">
        <f>ROUND(Data!K2828,2)</f>
        <v>6687.18</v>
      </c>
      <c r="D619" s="409" t="s">
        <v>2283</v>
      </c>
    </row>
    <row r="620" spans="1:4" ht="36.75" customHeight="1">
      <c r="A620" s="419"/>
      <c r="B620" s="400" t="s">
        <v>3595</v>
      </c>
      <c r="C620" s="411"/>
      <c r="D620" s="402"/>
    </row>
    <row r="621" spans="1:4" ht="36.75" customHeight="1">
      <c r="A621" s="419"/>
      <c r="B621" s="400" t="s">
        <v>4378</v>
      </c>
      <c r="C621" s="411">
        <f>Data!R2868</f>
        <v>5747.88</v>
      </c>
      <c r="D621" s="402" t="s">
        <v>2283</v>
      </c>
    </row>
    <row r="622" spans="1:4" ht="36.75" customHeight="1">
      <c r="A622" s="419"/>
      <c r="B622" s="400" t="s">
        <v>4670</v>
      </c>
      <c r="C622" s="411">
        <f>Data!R2835</f>
        <v>6050.31</v>
      </c>
      <c r="D622" s="402" t="s">
        <v>2283</v>
      </c>
    </row>
    <row r="623" spans="1:4" ht="36.75" customHeight="1">
      <c r="A623" s="419"/>
      <c r="B623" s="400" t="s">
        <v>4678</v>
      </c>
      <c r="C623" s="429">
        <f>Data!K965</f>
        <v>5030.8599999999997</v>
      </c>
      <c r="D623" s="402" t="s">
        <v>2283</v>
      </c>
    </row>
    <row r="624" spans="1:4" ht="36.75" customHeight="1">
      <c r="A624" s="419"/>
      <c r="B624" s="400" t="s">
        <v>5137</v>
      </c>
      <c r="C624" s="468">
        <f>Data!K1001</f>
        <v>5046.57</v>
      </c>
      <c r="D624" s="402" t="s">
        <v>2283</v>
      </c>
    </row>
    <row r="625" spans="1:4" ht="36.75" customHeight="1">
      <c r="A625" s="419"/>
      <c r="B625" s="414" t="s">
        <v>4379</v>
      </c>
      <c r="C625" s="411"/>
      <c r="D625" s="402"/>
    </row>
    <row r="626" spans="1:4" ht="36.75" customHeight="1">
      <c r="A626" s="419"/>
      <c r="B626" s="400" t="s">
        <v>6206</v>
      </c>
      <c r="C626" s="411">
        <f>Data!K3435</f>
        <v>5266.65</v>
      </c>
      <c r="D626" s="402" t="s">
        <v>2283</v>
      </c>
    </row>
    <row r="627" spans="1:4" ht="36.75" customHeight="1">
      <c r="A627" s="419"/>
      <c r="B627" s="440" t="s">
        <v>6207</v>
      </c>
      <c r="C627" s="411">
        <f>Data!AG2630</f>
        <v>5871.42</v>
      </c>
      <c r="D627" s="402" t="s">
        <v>2283</v>
      </c>
    </row>
    <row r="628" spans="1:4" ht="36.75" customHeight="1">
      <c r="A628" s="419"/>
      <c r="B628" s="400" t="s">
        <v>6208</v>
      </c>
      <c r="C628" s="412">
        <v>8756.6299999999992</v>
      </c>
      <c r="D628" s="469" t="s">
        <v>2283</v>
      </c>
    </row>
    <row r="629" spans="1:4" ht="36.75" customHeight="1">
      <c r="A629" s="419"/>
      <c r="B629" s="400" t="s">
        <v>6209</v>
      </c>
      <c r="C629" s="411">
        <f>Data!R3204</f>
        <v>6220.61</v>
      </c>
      <c r="D629" s="402" t="s">
        <v>2283</v>
      </c>
    </row>
    <row r="630" spans="1:4" ht="36.75" customHeight="1">
      <c r="A630" s="419"/>
      <c r="B630" s="470" t="s">
        <v>6210</v>
      </c>
      <c r="C630" s="411">
        <f>Data!K2648</f>
        <v>6538.42</v>
      </c>
      <c r="D630" s="402" t="s">
        <v>2283</v>
      </c>
    </row>
    <row r="631" spans="1:4" ht="36.75" customHeight="1">
      <c r="A631" s="419"/>
      <c r="B631" s="440" t="s">
        <v>6211</v>
      </c>
      <c r="C631" s="411">
        <f>Data!R2655</f>
        <v>7153.15</v>
      </c>
      <c r="D631" s="402" t="s">
        <v>2283</v>
      </c>
    </row>
    <row r="632" spans="1:4" ht="36.75" customHeight="1">
      <c r="A632" s="419"/>
      <c r="B632" s="471" t="s">
        <v>6212</v>
      </c>
      <c r="C632" s="411">
        <f>'Sliding and french window'!G219</f>
        <v>27750</v>
      </c>
      <c r="D632" s="402" t="s">
        <v>1398</v>
      </c>
    </row>
    <row r="633" spans="1:4" ht="36.75" customHeight="1">
      <c r="A633" s="419"/>
      <c r="B633" s="415" t="s">
        <v>5158</v>
      </c>
      <c r="C633" s="419"/>
      <c r="D633" s="419"/>
    </row>
    <row r="634" spans="1:4" ht="36.75" customHeight="1">
      <c r="A634" s="419"/>
      <c r="B634" s="400" t="s">
        <v>5135</v>
      </c>
      <c r="C634" s="412">
        <v>3346.03</v>
      </c>
      <c r="D634" s="402" t="s">
        <v>233</v>
      </c>
    </row>
    <row r="635" spans="1:4" ht="36.75" customHeight="1">
      <c r="A635" s="419"/>
      <c r="B635" s="400" t="s">
        <v>5136</v>
      </c>
      <c r="C635" s="434">
        <v>2819.29</v>
      </c>
      <c r="D635" s="402" t="s">
        <v>233</v>
      </c>
    </row>
    <row r="636" spans="1:4" ht="36.75" customHeight="1">
      <c r="A636" s="411"/>
      <c r="B636" s="400" t="s">
        <v>5155</v>
      </c>
      <c r="C636" s="434">
        <v>2596.6799999999998</v>
      </c>
      <c r="D636" s="402" t="s">
        <v>2283</v>
      </c>
    </row>
    <row r="637" spans="1:4" ht="36.75" customHeight="1">
      <c r="A637" s="419"/>
      <c r="B637" s="400" t="s">
        <v>4380</v>
      </c>
      <c r="C637" s="408">
        <f>Data!R1001</f>
        <v>4068.54</v>
      </c>
      <c r="D637" s="408" t="s">
        <v>2283</v>
      </c>
    </row>
    <row r="638" spans="1:4" ht="36.75" customHeight="1">
      <c r="A638" s="419"/>
      <c r="B638" s="400" t="s">
        <v>4964</v>
      </c>
      <c r="C638" s="411">
        <v>8847.7900000000009</v>
      </c>
      <c r="D638" s="402" t="s">
        <v>2283</v>
      </c>
    </row>
    <row r="639" spans="1:4" ht="36.75" customHeight="1">
      <c r="A639" s="436" t="s">
        <v>3520</v>
      </c>
      <c r="B639" s="400" t="s">
        <v>4347</v>
      </c>
      <c r="C639" s="404">
        <f>Data!C705</f>
        <v>3325</v>
      </c>
      <c r="D639" s="402" t="s">
        <v>2283</v>
      </c>
    </row>
    <row r="640" spans="1:4" s="410" customFormat="1" ht="36.75" customHeight="1">
      <c r="A640" s="472" t="s">
        <v>697</v>
      </c>
      <c r="B640" s="407" t="s">
        <v>5134</v>
      </c>
      <c r="C640" s="408">
        <f>ROUND(Data!K1186,2)</f>
        <v>835.7</v>
      </c>
      <c r="D640" s="409" t="s">
        <v>2283</v>
      </c>
    </row>
    <row r="641" spans="1:4" ht="36.75" customHeight="1">
      <c r="A641" s="432"/>
      <c r="B641" s="414" t="s">
        <v>226</v>
      </c>
      <c r="C641" s="404"/>
      <c r="D641" s="402"/>
    </row>
    <row r="642" spans="1:4" ht="36.75" customHeight="1">
      <c r="A642" s="400"/>
      <c r="B642" s="400" t="s">
        <v>1252</v>
      </c>
      <c r="C642" s="404">
        <f>ROUND(Data!K629,2)</f>
        <v>605.20000000000005</v>
      </c>
      <c r="D642" s="402" t="s">
        <v>1842</v>
      </c>
    </row>
    <row r="643" spans="1:4" ht="36.75" customHeight="1">
      <c r="A643" s="400"/>
      <c r="B643" s="400" t="s">
        <v>1386</v>
      </c>
      <c r="C643" s="404">
        <f>ROUND(Data!K630,2)</f>
        <v>609.91999999999996</v>
      </c>
      <c r="D643" s="402" t="s">
        <v>1842</v>
      </c>
    </row>
    <row r="644" spans="1:4" ht="36.75" customHeight="1">
      <c r="A644" s="400"/>
      <c r="B644" s="400" t="s">
        <v>1434</v>
      </c>
      <c r="C644" s="404">
        <f>ROUND(Data!K631,2)</f>
        <v>614.64</v>
      </c>
      <c r="D644" s="402" t="s">
        <v>1842</v>
      </c>
    </row>
    <row r="645" spans="1:4" ht="36.75" customHeight="1">
      <c r="A645" s="400"/>
      <c r="B645" s="400" t="s">
        <v>1324</v>
      </c>
      <c r="C645" s="404">
        <f>ROUND(Data!K632,2)</f>
        <v>619.36</v>
      </c>
      <c r="D645" s="402" t="s">
        <v>1842</v>
      </c>
    </row>
    <row r="646" spans="1:4" ht="36.75" customHeight="1">
      <c r="A646" s="419"/>
      <c r="B646" s="400" t="s">
        <v>1078</v>
      </c>
      <c r="C646" s="411">
        <f>ROUND(Data!K633,2)</f>
        <v>624.08000000000004</v>
      </c>
      <c r="D646" s="402" t="s">
        <v>1842</v>
      </c>
    </row>
    <row r="647" spans="1:4" ht="36.75" customHeight="1">
      <c r="A647" s="419"/>
      <c r="B647" s="414" t="s">
        <v>3305</v>
      </c>
      <c r="C647" s="411"/>
      <c r="D647" s="402"/>
    </row>
    <row r="648" spans="1:4" ht="36.75" customHeight="1">
      <c r="A648" s="419"/>
      <c r="B648" s="400" t="s">
        <v>3622</v>
      </c>
      <c r="C648" s="411">
        <f>Data!K591</f>
        <v>556.1</v>
      </c>
      <c r="D648" s="402" t="s">
        <v>1842</v>
      </c>
    </row>
    <row r="649" spans="1:4" ht="36.75" customHeight="1">
      <c r="A649" s="419"/>
      <c r="B649" s="400" t="s">
        <v>1386</v>
      </c>
      <c r="C649" s="411">
        <f>Data!K592</f>
        <v>560.82000000000005</v>
      </c>
      <c r="D649" s="402" t="s">
        <v>1842</v>
      </c>
    </row>
    <row r="650" spans="1:4" ht="36.75" customHeight="1">
      <c r="A650" s="419"/>
      <c r="B650" s="400" t="s">
        <v>1434</v>
      </c>
      <c r="C650" s="411">
        <f>Data!K593</f>
        <v>565.54</v>
      </c>
      <c r="D650" s="402" t="s">
        <v>1842</v>
      </c>
    </row>
    <row r="651" spans="1:4" ht="36.75" customHeight="1">
      <c r="A651" s="419"/>
      <c r="B651" s="400" t="s">
        <v>1324</v>
      </c>
      <c r="C651" s="411">
        <f>Data!K594</f>
        <v>570.26</v>
      </c>
      <c r="D651" s="402" t="s">
        <v>1842</v>
      </c>
    </row>
    <row r="652" spans="1:4" ht="36.75" customHeight="1">
      <c r="A652" s="419"/>
      <c r="B652" s="400" t="s">
        <v>1078</v>
      </c>
      <c r="C652" s="411">
        <f>Data!K595</f>
        <v>574.98</v>
      </c>
      <c r="D652" s="402" t="s">
        <v>1842</v>
      </c>
    </row>
    <row r="653" spans="1:4" ht="36.75" customHeight="1">
      <c r="A653" s="419"/>
      <c r="B653" s="414" t="s">
        <v>676</v>
      </c>
      <c r="C653" s="411"/>
      <c r="D653" s="402"/>
    </row>
    <row r="654" spans="1:4" ht="36.75" customHeight="1">
      <c r="A654" s="419"/>
      <c r="B654" s="400" t="s">
        <v>1252</v>
      </c>
      <c r="C654" s="411">
        <f>Data!X591</f>
        <v>589.79</v>
      </c>
      <c r="D654" s="402" t="s">
        <v>1842</v>
      </c>
    </row>
    <row r="655" spans="1:4" ht="36.75" customHeight="1">
      <c r="A655" s="419"/>
      <c r="B655" s="400" t="s">
        <v>1386</v>
      </c>
      <c r="C655" s="411">
        <f>Data!X592</f>
        <v>599.23</v>
      </c>
      <c r="D655" s="402" t="s">
        <v>1842</v>
      </c>
    </row>
    <row r="656" spans="1:4" ht="36.75" customHeight="1">
      <c r="A656" s="419"/>
      <c r="B656" s="400" t="s">
        <v>1434</v>
      </c>
      <c r="C656" s="411">
        <f>Data!X592</f>
        <v>599.23</v>
      </c>
      <c r="D656" s="402" t="s">
        <v>1842</v>
      </c>
    </row>
    <row r="657" spans="1:4" ht="36.75" customHeight="1">
      <c r="A657" s="419"/>
      <c r="B657" s="400" t="s">
        <v>1324</v>
      </c>
      <c r="C657" s="411">
        <f>Data!X593</f>
        <v>608.66999999999996</v>
      </c>
      <c r="D657" s="402" t="s">
        <v>1842</v>
      </c>
    </row>
    <row r="658" spans="1:4" ht="36.75" customHeight="1">
      <c r="A658" s="419"/>
      <c r="B658" s="400" t="s">
        <v>1078</v>
      </c>
      <c r="C658" s="411">
        <f>Data!X594</f>
        <v>618.11</v>
      </c>
      <c r="D658" s="402"/>
    </row>
    <row r="659" spans="1:4" ht="36.75" customHeight="1">
      <c r="A659" s="419"/>
      <c r="B659" s="414" t="s">
        <v>3856</v>
      </c>
      <c r="C659" s="411"/>
      <c r="D659" s="402"/>
    </row>
    <row r="660" spans="1:4" ht="36.75" customHeight="1">
      <c r="A660" s="419"/>
      <c r="B660" s="400" t="s">
        <v>1252</v>
      </c>
      <c r="C660" s="411">
        <f>Data!K613</f>
        <v>2072.79</v>
      </c>
      <c r="D660" s="402" t="s">
        <v>1842</v>
      </c>
    </row>
    <row r="661" spans="1:4" ht="36.75" customHeight="1">
      <c r="A661" s="419"/>
      <c r="B661" s="400" t="s">
        <v>1386</v>
      </c>
      <c r="C661" s="411">
        <f>Data!K614</f>
        <v>2082.23</v>
      </c>
      <c r="D661" s="402" t="s">
        <v>1842</v>
      </c>
    </row>
    <row r="662" spans="1:4" ht="36.75" customHeight="1">
      <c r="A662" s="419"/>
      <c r="B662" s="400" t="s">
        <v>1434</v>
      </c>
      <c r="C662" s="411">
        <f>Data!K615</f>
        <v>2091.67</v>
      </c>
      <c r="D662" s="402" t="s">
        <v>1842</v>
      </c>
    </row>
    <row r="663" spans="1:4" ht="36.75" customHeight="1">
      <c r="A663" s="419"/>
      <c r="B663" s="400" t="s">
        <v>1324</v>
      </c>
      <c r="C663" s="411">
        <f>Data!K616</f>
        <v>2101.11</v>
      </c>
      <c r="D663" s="402" t="s">
        <v>1842</v>
      </c>
    </row>
    <row r="664" spans="1:4" ht="36.75" customHeight="1">
      <c r="A664" s="419"/>
      <c r="B664" s="400" t="s">
        <v>1078</v>
      </c>
      <c r="C664" s="411">
        <f>Data!K617</f>
        <v>2110.5500000000002</v>
      </c>
      <c r="D664" s="402" t="s">
        <v>1842</v>
      </c>
    </row>
    <row r="665" spans="1:4" ht="36.75" customHeight="1">
      <c r="A665" s="399">
        <v>29.8</v>
      </c>
      <c r="B665" s="400" t="s">
        <v>4944</v>
      </c>
      <c r="C665" s="404">
        <f>ROUND(Data!K1279,2)</f>
        <v>1380.17</v>
      </c>
      <c r="D665" s="402" t="s">
        <v>2283</v>
      </c>
    </row>
    <row r="666" spans="1:4" ht="36.75" customHeight="1">
      <c r="A666" s="399"/>
      <c r="B666" s="400" t="s">
        <v>2174</v>
      </c>
      <c r="C666" s="411">
        <f>ROUND(Data!K1265,2)</f>
        <v>1217.55</v>
      </c>
      <c r="D666" s="402" t="s">
        <v>2283</v>
      </c>
    </row>
    <row r="667" spans="1:4" ht="36.75" customHeight="1">
      <c r="A667" s="399">
        <v>29.9</v>
      </c>
      <c r="B667" s="400" t="s">
        <v>1697</v>
      </c>
      <c r="C667" s="404">
        <f>ROUND(Data!K1265,2)</f>
        <v>1217.55</v>
      </c>
      <c r="D667" s="402" t="s">
        <v>2283</v>
      </c>
    </row>
    <row r="668" spans="1:4" s="410" customFormat="1" ht="36.75" customHeight="1">
      <c r="A668" s="406">
        <v>38.4</v>
      </c>
      <c r="B668" s="407" t="s">
        <v>1698</v>
      </c>
      <c r="C668" s="408">
        <f>Data!K2726</f>
        <v>130.27000000000001</v>
      </c>
      <c r="D668" s="409" t="s">
        <v>2283</v>
      </c>
    </row>
    <row r="669" spans="1:4" ht="36.75" customHeight="1">
      <c r="A669" s="399">
        <v>38.5</v>
      </c>
      <c r="B669" s="400" t="s">
        <v>31</v>
      </c>
      <c r="C669" s="411">
        <f>ROUND(Data!K1527,2)</f>
        <v>163.93</v>
      </c>
      <c r="D669" s="402" t="s">
        <v>2283</v>
      </c>
    </row>
    <row r="670" spans="1:4" ht="36.75" customHeight="1">
      <c r="A670" s="399">
        <v>38.6</v>
      </c>
      <c r="B670" s="400" t="s">
        <v>1699</v>
      </c>
      <c r="C670" s="404">
        <f>ROUND(Data!K2717,2)</f>
        <v>61.63</v>
      </c>
      <c r="D670" s="402" t="s">
        <v>2283</v>
      </c>
    </row>
    <row r="671" spans="1:4" ht="36.75" customHeight="1">
      <c r="A671" s="399">
        <v>42</v>
      </c>
      <c r="B671" s="400" t="s">
        <v>6213</v>
      </c>
      <c r="C671" s="404">
        <f>ROUND(Data!K1583,2)</f>
        <v>90882</v>
      </c>
      <c r="D671" s="402" t="s">
        <v>528</v>
      </c>
    </row>
    <row r="672" spans="1:4" s="410" customFormat="1" ht="36.75" customHeight="1">
      <c r="A672" s="406">
        <v>43</v>
      </c>
      <c r="B672" s="407" t="s">
        <v>6214</v>
      </c>
      <c r="C672" s="412">
        <f>ROUND(Data!K1609,2)</f>
        <v>88873.5</v>
      </c>
      <c r="D672" s="409" t="s">
        <v>528</v>
      </c>
    </row>
    <row r="673" spans="1:4" s="410" customFormat="1" ht="36.75" customHeight="1">
      <c r="A673" s="406">
        <v>44.6</v>
      </c>
      <c r="B673" s="407" t="s">
        <v>6215</v>
      </c>
      <c r="C673" s="408">
        <f>ROUND(Data!K1639,2)</f>
        <v>343.11</v>
      </c>
      <c r="D673" s="409" t="s">
        <v>826</v>
      </c>
    </row>
    <row r="674" spans="1:4" s="410" customFormat="1" ht="36.75" customHeight="1">
      <c r="A674" s="406">
        <v>50.6</v>
      </c>
      <c r="B674" s="407" t="s">
        <v>1077</v>
      </c>
      <c r="C674" s="408">
        <f>ROUND(Data!K2393,2)</f>
        <v>408.64</v>
      </c>
      <c r="D674" s="409" t="s">
        <v>2283</v>
      </c>
    </row>
    <row r="675" spans="1:4" ht="36.75" customHeight="1">
      <c r="A675" s="399">
        <v>52.4</v>
      </c>
      <c r="B675" s="400" t="s">
        <v>2228</v>
      </c>
      <c r="C675" s="404">
        <f>ROUND(Data!K2768,2)</f>
        <v>231.61</v>
      </c>
      <c r="D675" s="402" t="s">
        <v>826</v>
      </c>
    </row>
    <row r="676" spans="1:4" ht="36.75" customHeight="1">
      <c r="A676" s="399">
        <v>53.4</v>
      </c>
      <c r="B676" s="400" t="s">
        <v>69</v>
      </c>
      <c r="C676" s="404">
        <f>Data!K1952</f>
        <v>1864</v>
      </c>
      <c r="D676" s="402" t="s">
        <v>1398</v>
      </c>
    </row>
    <row r="677" spans="1:4" ht="51.75" customHeight="1">
      <c r="A677" s="399"/>
      <c r="B677" s="400" t="s">
        <v>4742</v>
      </c>
      <c r="C677" s="404">
        <f>Data!R3573</f>
        <v>3337.32</v>
      </c>
      <c r="D677" s="402" t="s">
        <v>1398</v>
      </c>
    </row>
    <row r="678" spans="1:4" ht="84" customHeight="1">
      <c r="A678" s="399">
        <v>54.3</v>
      </c>
      <c r="B678" s="400" t="s">
        <v>6216</v>
      </c>
      <c r="C678" s="411">
        <f>ROUND(Data!K1955,2)</f>
        <v>206</v>
      </c>
      <c r="D678" s="402" t="s">
        <v>1398</v>
      </c>
    </row>
    <row r="679" spans="1:4" ht="49.5" customHeight="1">
      <c r="A679" s="399">
        <v>56.3</v>
      </c>
      <c r="B679" s="400" t="s">
        <v>824</v>
      </c>
      <c r="C679" s="404">
        <f>ROUND(Data!K1978,2)</f>
        <v>3374.2</v>
      </c>
      <c r="D679" s="402" t="s">
        <v>1398</v>
      </c>
    </row>
    <row r="680" spans="1:4" ht="50.25" customHeight="1">
      <c r="A680" s="399">
        <v>56.4</v>
      </c>
      <c r="B680" s="400" t="s">
        <v>1281</v>
      </c>
      <c r="C680" s="404">
        <f>ROUND(Data!K1999,2)</f>
        <v>5271.16</v>
      </c>
      <c r="D680" s="402" t="s">
        <v>1398</v>
      </c>
    </row>
    <row r="681" spans="1:4" ht="36.75" customHeight="1">
      <c r="A681" s="399">
        <v>58.3</v>
      </c>
      <c r="B681" s="414" t="s">
        <v>1282</v>
      </c>
      <c r="C681" s="404"/>
      <c r="D681" s="473"/>
    </row>
    <row r="682" spans="1:4" ht="36.75" customHeight="1">
      <c r="A682" s="399"/>
      <c r="B682" s="400" t="s">
        <v>35</v>
      </c>
      <c r="C682" s="404">
        <f>ROUND(Data!K2064,2)</f>
        <v>717.55</v>
      </c>
      <c r="D682" s="402" t="s">
        <v>826</v>
      </c>
    </row>
    <row r="683" spans="1:4" ht="36.75" customHeight="1">
      <c r="A683" s="411"/>
      <c r="B683" s="400" t="s">
        <v>36</v>
      </c>
      <c r="C683" s="404">
        <f>ROUND(Data!K2088,2)</f>
        <v>600.25</v>
      </c>
      <c r="D683" s="402" t="s">
        <v>826</v>
      </c>
    </row>
    <row r="684" spans="1:4" ht="36.75" customHeight="1">
      <c r="A684" s="399">
        <v>58.4</v>
      </c>
      <c r="B684" s="400" t="s">
        <v>849</v>
      </c>
      <c r="C684" s="404">
        <f>ROUND(Data!K2889,2)</f>
        <v>114.45</v>
      </c>
      <c r="D684" s="473" t="s">
        <v>826</v>
      </c>
    </row>
    <row r="685" spans="1:4" s="410" customFormat="1" ht="36.75" customHeight="1">
      <c r="A685" s="406">
        <v>58.5</v>
      </c>
      <c r="B685" s="407" t="s">
        <v>850</v>
      </c>
      <c r="C685" s="408">
        <f>ROUND(Data!K2099,2)</f>
        <v>454</v>
      </c>
      <c r="D685" s="474" t="s">
        <v>1398</v>
      </c>
    </row>
    <row r="686" spans="1:4" s="410" customFormat="1" ht="96.75" customHeight="1">
      <c r="A686" s="406"/>
      <c r="B686" s="415" t="s">
        <v>5099</v>
      </c>
      <c r="C686" s="408"/>
      <c r="D686" s="474"/>
    </row>
    <row r="687" spans="1:4" s="410" customFormat="1" ht="36.75" customHeight="1">
      <c r="A687" s="406"/>
      <c r="B687" s="407" t="s">
        <v>2142</v>
      </c>
      <c r="C687" s="408">
        <f>Elec.Data!K29</f>
        <v>1692.1</v>
      </c>
      <c r="D687" s="475" t="s">
        <v>1398</v>
      </c>
    </row>
    <row r="688" spans="1:4" s="410" customFormat="1" ht="36.75" customHeight="1">
      <c r="A688" s="406"/>
      <c r="B688" s="407" t="s">
        <v>1270</v>
      </c>
      <c r="C688" s="408">
        <f>Elec.Data!K53</f>
        <v>1695.1</v>
      </c>
      <c r="D688" s="475" t="s">
        <v>1398</v>
      </c>
    </row>
    <row r="689" spans="1:4" s="410" customFormat="1" ht="36.75" customHeight="1">
      <c r="A689" s="412"/>
      <c r="B689" s="407" t="s">
        <v>299</v>
      </c>
      <c r="C689" s="408">
        <f>Elec.Data!K68</f>
        <v>1732.1</v>
      </c>
      <c r="D689" s="475" t="s">
        <v>1398</v>
      </c>
    </row>
    <row r="690" spans="1:4" s="410" customFormat="1" ht="87.75" customHeight="1">
      <c r="A690" s="406">
        <v>65.099999999999994</v>
      </c>
      <c r="B690" s="407" t="s">
        <v>6217</v>
      </c>
      <c r="C690" s="408">
        <f>Elec.Data!K90</f>
        <v>1767.1</v>
      </c>
      <c r="D690" s="475" t="s">
        <v>1398</v>
      </c>
    </row>
    <row r="691" spans="1:4" s="410" customFormat="1" ht="87.75" customHeight="1">
      <c r="A691" s="406">
        <v>66.099999999999994</v>
      </c>
      <c r="B691" s="407" t="s">
        <v>6218</v>
      </c>
      <c r="C691" s="408">
        <f>Elec.Data!K114</f>
        <v>3176.2</v>
      </c>
      <c r="D691" s="475" t="s">
        <v>1398</v>
      </c>
    </row>
    <row r="692" spans="1:4" s="410" customFormat="1" ht="87.75" customHeight="1">
      <c r="A692" s="406"/>
      <c r="B692" s="407" t="s">
        <v>6219</v>
      </c>
      <c r="C692" s="408">
        <f>Elec.Data!K146</f>
        <v>869.5</v>
      </c>
      <c r="D692" s="475" t="s">
        <v>1398</v>
      </c>
    </row>
    <row r="693" spans="1:4" s="410" customFormat="1" ht="87.75" customHeight="1">
      <c r="A693" s="406">
        <v>68.2</v>
      </c>
      <c r="B693" s="407" t="s">
        <v>6220</v>
      </c>
      <c r="C693" s="408">
        <f>Elec.Data!K134</f>
        <v>1174.4000000000001</v>
      </c>
      <c r="D693" s="475" t="s">
        <v>1398</v>
      </c>
    </row>
    <row r="694" spans="1:4" ht="87.75" customHeight="1">
      <c r="A694" s="399">
        <v>70.5</v>
      </c>
      <c r="B694" s="400" t="s">
        <v>5102</v>
      </c>
      <c r="C694" s="476">
        <f>Elec.Data!K157</f>
        <v>150</v>
      </c>
      <c r="D694" s="477" t="s">
        <v>1398</v>
      </c>
    </row>
    <row r="695" spans="1:4" ht="87.75" customHeight="1">
      <c r="A695" s="411"/>
      <c r="B695" s="400" t="s">
        <v>6221</v>
      </c>
      <c r="C695" s="404">
        <f>ROUND(Data!K3039,2)</f>
        <v>1739.7</v>
      </c>
      <c r="D695" s="469" t="s">
        <v>1398</v>
      </c>
    </row>
    <row r="696" spans="1:4" ht="87.75" customHeight="1">
      <c r="A696" s="411"/>
      <c r="B696" s="400" t="s">
        <v>3518</v>
      </c>
      <c r="C696" s="404">
        <f>Data!K2284</f>
        <v>272.89999999999998</v>
      </c>
      <c r="D696" s="473" t="s">
        <v>826</v>
      </c>
    </row>
    <row r="697" spans="1:4" ht="87.75" customHeight="1">
      <c r="A697" s="436">
        <v>77.5</v>
      </c>
      <c r="B697" s="400" t="s">
        <v>3519</v>
      </c>
      <c r="C697" s="404">
        <f>ROUND(Data!K2283,2)</f>
        <v>214.9</v>
      </c>
      <c r="D697" s="473" t="s">
        <v>826</v>
      </c>
    </row>
    <row r="698" spans="1:4" ht="87.75" customHeight="1">
      <c r="A698" s="436"/>
      <c r="B698" s="400" t="s">
        <v>3566</v>
      </c>
      <c r="C698" s="411">
        <f>C1464</f>
        <v>232.9</v>
      </c>
      <c r="D698" s="478" t="s">
        <v>826</v>
      </c>
    </row>
    <row r="699" spans="1:4" ht="87.75" customHeight="1">
      <c r="A699" s="436"/>
      <c r="B699" s="400" t="s">
        <v>6222</v>
      </c>
      <c r="C699" s="411">
        <f>Elec.Data!K708</f>
        <v>275.3</v>
      </c>
      <c r="D699" s="473" t="s">
        <v>826</v>
      </c>
    </row>
    <row r="700" spans="1:4" ht="87.75" customHeight="1">
      <c r="A700" s="436"/>
      <c r="B700" s="479" t="s">
        <v>3649</v>
      </c>
      <c r="C700" s="411">
        <f>Elec.Data!R288</f>
        <v>501.08</v>
      </c>
      <c r="D700" s="478" t="s">
        <v>826</v>
      </c>
    </row>
    <row r="701" spans="1:4" ht="87.75" customHeight="1">
      <c r="A701" s="436"/>
      <c r="B701" s="479" t="s">
        <v>3650</v>
      </c>
      <c r="C701" s="411">
        <f>Elec.Data!R302</f>
        <v>642.77</v>
      </c>
      <c r="D701" s="478" t="s">
        <v>826</v>
      </c>
    </row>
    <row r="702" spans="1:4" s="410" customFormat="1" ht="36.75" customHeight="1">
      <c r="A702" s="406">
        <v>112.1</v>
      </c>
      <c r="B702" s="407" t="s">
        <v>1919</v>
      </c>
      <c r="C702" s="408">
        <f>Data!K3019</f>
        <v>2176.4</v>
      </c>
      <c r="D702" s="475" t="s">
        <v>1398</v>
      </c>
    </row>
    <row r="703" spans="1:4" s="464" customFormat="1" ht="36.75" customHeight="1">
      <c r="A703" s="460"/>
      <c r="B703" s="480" t="s">
        <v>1010</v>
      </c>
      <c r="C703" s="481"/>
      <c r="D703" s="482"/>
    </row>
    <row r="704" spans="1:4" s="464" customFormat="1" ht="36.75" customHeight="1">
      <c r="A704" s="460"/>
      <c r="B704" s="461" t="s">
        <v>1436</v>
      </c>
      <c r="C704" s="481">
        <f>ROUND(Data!K3033,2)</f>
        <v>0</v>
      </c>
      <c r="D704" s="482" t="s">
        <v>1398</v>
      </c>
    </row>
    <row r="705" spans="1:4" s="464" customFormat="1" ht="36.75" customHeight="1">
      <c r="A705" s="460"/>
      <c r="B705" s="461" t="s">
        <v>1435</v>
      </c>
      <c r="C705" s="481">
        <f>Data!K3035</f>
        <v>0</v>
      </c>
      <c r="D705" s="482" t="s">
        <v>1398</v>
      </c>
    </row>
    <row r="706" spans="1:4" s="464" customFormat="1" ht="36.75" customHeight="1">
      <c r="A706" s="460"/>
      <c r="B706" s="461" t="s">
        <v>198</v>
      </c>
      <c r="C706" s="481">
        <f>Data!K3038</f>
        <v>0</v>
      </c>
      <c r="D706" s="482" t="s">
        <v>1398</v>
      </c>
    </row>
    <row r="707" spans="1:4" ht="36.75" customHeight="1">
      <c r="A707" s="399">
        <v>44.2</v>
      </c>
      <c r="B707" s="414" t="s">
        <v>1905</v>
      </c>
      <c r="C707" s="404"/>
      <c r="D707" s="469"/>
    </row>
    <row r="708" spans="1:4" ht="36.75" customHeight="1">
      <c r="A708" s="399"/>
      <c r="B708" s="400" t="s">
        <v>5458</v>
      </c>
      <c r="C708" s="404">
        <f>Data!R2351</f>
        <v>2185.48</v>
      </c>
      <c r="D708" s="469" t="s">
        <v>1398</v>
      </c>
    </row>
    <row r="709" spans="1:4" ht="36.75" customHeight="1">
      <c r="A709" s="399"/>
      <c r="B709" s="400" t="s">
        <v>318</v>
      </c>
      <c r="C709" s="404">
        <f>Data!R2358</f>
        <v>481.09</v>
      </c>
      <c r="D709" s="469" t="s">
        <v>826</v>
      </c>
    </row>
    <row r="710" spans="1:4" ht="36.75" customHeight="1">
      <c r="A710" s="399">
        <v>257.10000000000002</v>
      </c>
      <c r="B710" s="400" t="s">
        <v>1384</v>
      </c>
      <c r="C710" s="411">
        <f>ROUND(Data!K2704,2)</f>
        <v>272.93</v>
      </c>
      <c r="D710" s="469" t="s">
        <v>826</v>
      </c>
    </row>
    <row r="711" spans="1:4" ht="36.75" customHeight="1">
      <c r="A711" s="436">
        <v>344.2</v>
      </c>
      <c r="B711" s="400" t="s">
        <v>764</v>
      </c>
      <c r="C711" s="404">
        <f>ROUND(Data!K3015,2)</f>
        <v>398.3</v>
      </c>
      <c r="D711" s="469" t="s">
        <v>1398</v>
      </c>
    </row>
    <row r="712" spans="1:4" s="410" customFormat="1" ht="36.75" customHeight="1">
      <c r="A712" s="483">
        <v>383</v>
      </c>
      <c r="B712" s="407" t="s">
        <v>1623</v>
      </c>
      <c r="C712" s="412">
        <f>Data!C765</f>
        <v>1020</v>
      </c>
      <c r="D712" s="409" t="s">
        <v>1398</v>
      </c>
    </row>
    <row r="713" spans="1:4" ht="36.75" customHeight="1">
      <c r="A713" s="399">
        <v>383.1</v>
      </c>
      <c r="B713" s="400" t="s">
        <v>5930</v>
      </c>
      <c r="C713" s="437">
        <v>195.7</v>
      </c>
      <c r="D713" s="469" t="s">
        <v>826</v>
      </c>
    </row>
    <row r="714" spans="1:4" ht="36.75" customHeight="1">
      <c r="A714" s="399"/>
      <c r="B714" s="400" t="s">
        <v>5931</v>
      </c>
      <c r="C714" s="437">
        <v>370.25</v>
      </c>
      <c r="D714" s="469" t="s">
        <v>826</v>
      </c>
    </row>
    <row r="715" spans="1:4" ht="36.75" customHeight="1">
      <c r="A715" s="399"/>
      <c r="B715" s="400" t="s">
        <v>3589</v>
      </c>
      <c r="C715" s="411">
        <f>Data!R1913</f>
        <v>304.19</v>
      </c>
      <c r="D715" s="469" t="s">
        <v>826</v>
      </c>
    </row>
    <row r="716" spans="1:4" s="410" customFormat="1" ht="36.75" customHeight="1">
      <c r="A716" s="483">
        <v>384</v>
      </c>
      <c r="B716" s="407" t="s">
        <v>227</v>
      </c>
      <c r="C716" s="412">
        <f>Data!K3047</f>
        <v>1753.5</v>
      </c>
      <c r="D716" s="484" t="s">
        <v>1398</v>
      </c>
    </row>
    <row r="717" spans="1:4" ht="36.75" customHeight="1">
      <c r="A717" s="435">
        <v>385</v>
      </c>
      <c r="B717" s="400" t="s">
        <v>228</v>
      </c>
      <c r="C717" s="411">
        <f>ROUND(Data!K2691,2)</f>
        <v>718.9</v>
      </c>
      <c r="D717" s="402" t="s">
        <v>1398</v>
      </c>
    </row>
    <row r="718" spans="1:4" ht="36.75" customHeight="1">
      <c r="A718" s="399">
        <v>238.1</v>
      </c>
      <c r="B718" s="400" t="s">
        <v>6223</v>
      </c>
      <c r="C718" s="411">
        <f>ROUND(Data!K2779,2)</f>
        <v>2867.75</v>
      </c>
      <c r="D718" s="478" t="s">
        <v>528</v>
      </c>
    </row>
    <row r="719" spans="1:4" s="410" customFormat="1" ht="36.75" customHeight="1">
      <c r="A719" s="406">
        <v>71.2</v>
      </c>
      <c r="B719" s="407" t="s">
        <v>3515</v>
      </c>
      <c r="C719" s="412">
        <f>Elec.Data!K379</f>
        <v>2195.34</v>
      </c>
      <c r="D719" s="484" t="s">
        <v>1398</v>
      </c>
    </row>
    <row r="720" spans="1:4" s="410" customFormat="1" ht="36.75" customHeight="1">
      <c r="A720" s="406">
        <v>80.099999999999994</v>
      </c>
      <c r="B720" s="407" t="s">
        <v>3808</v>
      </c>
      <c r="C720" s="485">
        <f>C1446</f>
        <v>1345.34</v>
      </c>
      <c r="D720" s="484" t="s">
        <v>1398</v>
      </c>
    </row>
    <row r="721" spans="1:4" ht="36.75" customHeight="1">
      <c r="A721" s="399"/>
      <c r="B721" s="400" t="s">
        <v>3521</v>
      </c>
      <c r="C721" s="411">
        <f>Elec.Data!K588</f>
        <v>852.12</v>
      </c>
      <c r="D721" s="478" t="s">
        <v>1398</v>
      </c>
    </row>
    <row r="722" spans="1:4" ht="36.75" customHeight="1">
      <c r="A722" s="399"/>
      <c r="B722" s="400" t="s">
        <v>3805</v>
      </c>
      <c r="C722" s="411">
        <f>Elec.Data!K569</f>
        <v>573</v>
      </c>
      <c r="D722" s="478" t="s">
        <v>1398</v>
      </c>
    </row>
    <row r="723" spans="1:4" ht="36.75" customHeight="1">
      <c r="A723" s="399">
        <v>87.1</v>
      </c>
      <c r="B723" s="400" t="str">
        <f>B1480</f>
        <v>Supplying and delivery of Three phase ELCB/RCCB</v>
      </c>
      <c r="C723" s="411">
        <f>Elec.Data!K637</f>
        <v>3091.3</v>
      </c>
      <c r="D723" s="478" t="s">
        <v>1398</v>
      </c>
    </row>
    <row r="724" spans="1:4" ht="36.75" customHeight="1">
      <c r="A724" s="399"/>
      <c r="B724" s="400" t="s">
        <v>3809</v>
      </c>
      <c r="C724" s="411">
        <f>C1483</f>
        <v>165</v>
      </c>
      <c r="D724" s="478" t="s">
        <v>826</v>
      </c>
    </row>
    <row r="725" spans="1:4" ht="36.75" customHeight="1">
      <c r="A725" s="399"/>
      <c r="B725" s="400" t="s">
        <v>5079</v>
      </c>
      <c r="C725" s="404">
        <f>'Print Data (2)'!F472</f>
        <v>231.43</v>
      </c>
      <c r="D725" s="478" t="s">
        <v>2283</v>
      </c>
    </row>
    <row r="726" spans="1:4" s="410" customFormat="1" ht="36.75" customHeight="1">
      <c r="A726" s="406"/>
      <c r="B726" s="407" t="s">
        <v>5103</v>
      </c>
      <c r="C726" s="408">
        <v>133.49</v>
      </c>
      <c r="D726" s="484" t="s">
        <v>2283</v>
      </c>
    </row>
    <row r="727" spans="1:4" ht="36.75" customHeight="1">
      <c r="A727" s="399" t="s">
        <v>4343</v>
      </c>
      <c r="B727" s="400" t="s">
        <v>3810</v>
      </c>
      <c r="C727" s="404">
        <f>Data!K3349</f>
        <v>125.27</v>
      </c>
      <c r="D727" s="478" t="s">
        <v>2283</v>
      </c>
    </row>
    <row r="728" spans="1:4" ht="36.75" customHeight="1">
      <c r="A728" s="399"/>
      <c r="B728" s="400" t="str">
        <f>B1481</f>
        <v>2 x 4 Sqmm Copper PVC insulated unsheathed single core 1 KV grade cable for EB service single phase.</v>
      </c>
      <c r="C728" s="411">
        <f>Elec.Data!K670</f>
        <v>158.03</v>
      </c>
      <c r="D728" s="478" t="s">
        <v>826</v>
      </c>
    </row>
    <row r="729" spans="1:4" ht="36.75" customHeight="1">
      <c r="A729" s="399"/>
      <c r="B729" s="400" t="str">
        <f>B1447</f>
        <v>40 mm dia GI pipe "B"class</v>
      </c>
      <c r="C729" s="400">
        <f>C1447</f>
        <v>165</v>
      </c>
      <c r="D729" s="478" t="s">
        <v>826</v>
      </c>
    </row>
    <row r="730" spans="1:4" ht="36.75" customHeight="1">
      <c r="A730" s="399"/>
      <c r="B730" s="400" t="s">
        <v>4743</v>
      </c>
      <c r="C730" s="404">
        <v>9180</v>
      </c>
      <c r="D730" s="409" t="s">
        <v>1398</v>
      </c>
    </row>
    <row r="731" spans="1:4" ht="36.75" customHeight="1">
      <c r="A731" s="399"/>
      <c r="B731" s="400" t="s">
        <v>5932</v>
      </c>
      <c r="C731" s="400">
        <v>5428</v>
      </c>
      <c r="D731" s="478" t="s">
        <v>2283</v>
      </c>
    </row>
    <row r="732" spans="1:4" s="410" customFormat="1" ht="36.75" customHeight="1">
      <c r="A732" s="406">
        <v>448.2</v>
      </c>
      <c r="B732" s="407" t="s">
        <v>4251</v>
      </c>
      <c r="C732" s="408">
        <f>Data!R3124</f>
        <v>138.32</v>
      </c>
      <c r="D732" s="484" t="s">
        <v>1398</v>
      </c>
    </row>
    <row r="733" spans="1:4" ht="36.75" customHeight="1">
      <c r="A733" s="399"/>
      <c r="B733" s="400" t="s">
        <v>6224</v>
      </c>
      <c r="C733" s="411">
        <f>Data!AD1272</f>
        <v>1758.17</v>
      </c>
      <c r="D733" s="469" t="s">
        <v>2283</v>
      </c>
    </row>
    <row r="734" spans="1:4" ht="36.75" customHeight="1">
      <c r="A734" s="399"/>
      <c r="B734" s="400" t="s">
        <v>6225</v>
      </c>
      <c r="C734" s="404">
        <f>Data!R2417</f>
        <v>1438.54</v>
      </c>
      <c r="D734" s="469" t="s">
        <v>2283</v>
      </c>
    </row>
    <row r="735" spans="1:4" ht="36.75" customHeight="1">
      <c r="A735" s="399"/>
      <c r="B735" s="400" t="s">
        <v>5080</v>
      </c>
      <c r="C735" s="408">
        <f>Data!AD1272</f>
        <v>1758.17</v>
      </c>
      <c r="D735" s="469" t="s">
        <v>2283</v>
      </c>
    </row>
    <row r="736" spans="1:4" ht="36.75" customHeight="1">
      <c r="A736" s="399"/>
      <c r="B736" s="400" t="s">
        <v>4945</v>
      </c>
      <c r="C736" s="404">
        <f>Data!K2436</f>
        <v>1486.74</v>
      </c>
      <c r="D736" s="469" t="s">
        <v>233</v>
      </c>
    </row>
    <row r="737" spans="1:4" ht="36.75" customHeight="1">
      <c r="A737" s="399"/>
      <c r="B737" s="486" t="s">
        <v>4967</v>
      </c>
      <c r="C737" s="487">
        <f>Data!R1250</f>
        <v>1497.69</v>
      </c>
      <c r="D737" s="488" t="s">
        <v>2283</v>
      </c>
    </row>
    <row r="738" spans="1:4" ht="36.75" customHeight="1">
      <c r="A738" s="399"/>
      <c r="B738" s="489" t="s">
        <v>4968</v>
      </c>
      <c r="C738" s="487">
        <f>Data!R1273</f>
        <v>1260.99</v>
      </c>
      <c r="D738" s="488" t="s">
        <v>2283</v>
      </c>
    </row>
    <row r="739" spans="1:4" ht="36.75" customHeight="1">
      <c r="A739" s="399" t="s">
        <v>4250</v>
      </c>
      <c r="B739" s="400" t="s">
        <v>3806</v>
      </c>
      <c r="C739" s="404">
        <f>Data!R1231</f>
        <v>1490.92</v>
      </c>
      <c r="D739" s="469" t="s">
        <v>2283</v>
      </c>
    </row>
    <row r="740" spans="1:4" ht="36.75" customHeight="1">
      <c r="A740" s="399"/>
      <c r="B740" s="400" t="s">
        <v>4954</v>
      </c>
      <c r="C740" s="408">
        <f>Data!AD1258</f>
        <v>1632.69</v>
      </c>
      <c r="D740" s="469" t="s">
        <v>2283</v>
      </c>
    </row>
    <row r="741" spans="1:4" ht="36.75" customHeight="1">
      <c r="A741" s="399"/>
      <c r="B741" s="490" t="s">
        <v>3614</v>
      </c>
      <c r="C741" s="491"/>
      <c r="D741" s="492"/>
    </row>
    <row r="742" spans="1:4" ht="36.75" customHeight="1">
      <c r="A742" s="399"/>
      <c r="B742" s="493" t="s">
        <v>4485</v>
      </c>
      <c r="C742" s="491">
        <f>'Sliding and french window'!G350</f>
        <v>3353.03</v>
      </c>
      <c r="D742" s="492" t="s">
        <v>2283</v>
      </c>
    </row>
    <row r="743" spans="1:4" ht="36.75" customHeight="1">
      <c r="A743" s="399"/>
      <c r="B743" s="493" t="s">
        <v>4486</v>
      </c>
      <c r="C743" s="491">
        <f>'Sliding and french window'!G491</f>
        <v>3169.22</v>
      </c>
      <c r="D743" s="492" t="s">
        <v>2283</v>
      </c>
    </row>
    <row r="744" spans="1:4" ht="36.75" customHeight="1">
      <c r="A744" s="399"/>
      <c r="B744" s="493" t="s">
        <v>4487</v>
      </c>
      <c r="C744" s="491">
        <f>'Sliding and french window'!G395</f>
        <v>4048</v>
      </c>
      <c r="D744" s="492" t="s">
        <v>2283</v>
      </c>
    </row>
    <row r="745" spans="1:4" ht="36.75" customHeight="1">
      <c r="A745" s="399"/>
      <c r="B745" s="493" t="s">
        <v>4488</v>
      </c>
      <c r="C745" s="491">
        <f>'Sliding and french window'!G440</f>
        <v>3758.93</v>
      </c>
      <c r="D745" s="492" t="s">
        <v>2283</v>
      </c>
    </row>
    <row r="746" spans="1:4" ht="36.75" customHeight="1">
      <c r="A746" s="399"/>
      <c r="B746" s="440" t="s">
        <v>3579</v>
      </c>
      <c r="C746" s="453">
        <f>Data!X1294</f>
        <v>1377.9</v>
      </c>
      <c r="D746" s="455" t="s">
        <v>1842</v>
      </c>
    </row>
    <row r="747" spans="1:4" ht="36.75" customHeight="1">
      <c r="A747" s="399"/>
      <c r="B747" s="440" t="s">
        <v>3580</v>
      </c>
      <c r="C747" s="453">
        <f>Data!K1293</f>
        <v>2955.73</v>
      </c>
      <c r="D747" s="455" t="s">
        <v>1842</v>
      </c>
    </row>
    <row r="748" spans="1:4" ht="36.75" customHeight="1">
      <c r="A748" s="399" t="s">
        <v>4726</v>
      </c>
      <c r="B748" s="494" t="s">
        <v>4721</v>
      </c>
      <c r="C748" s="453">
        <f>Data!R3721</f>
        <v>4504.3599999999997</v>
      </c>
      <c r="D748" s="402" t="s">
        <v>2283</v>
      </c>
    </row>
    <row r="749" spans="1:4" ht="36.75" customHeight="1">
      <c r="A749" s="399">
        <f>11.6-7.25</f>
        <v>4.4000000000000004</v>
      </c>
      <c r="B749" s="400" t="s">
        <v>6226</v>
      </c>
      <c r="C749" s="495">
        <v>915.02</v>
      </c>
      <c r="D749" s="402" t="s">
        <v>2283</v>
      </c>
    </row>
    <row r="750" spans="1:4" ht="36.75" customHeight="1">
      <c r="A750" s="399"/>
      <c r="B750" s="400" t="s">
        <v>6227</v>
      </c>
      <c r="C750" s="495">
        <v>990</v>
      </c>
      <c r="D750" s="402" t="s">
        <v>2283</v>
      </c>
    </row>
    <row r="751" spans="1:4" ht="36.75" customHeight="1">
      <c r="A751" s="399"/>
      <c r="B751" s="400" t="s">
        <v>3567</v>
      </c>
      <c r="C751" s="453">
        <v>905</v>
      </c>
      <c r="D751" s="402" t="s">
        <v>826</v>
      </c>
    </row>
    <row r="752" spans="1:4" ht="36.75" customHeight="1">
      <c r="A752" s="399"/>
      <c r="B752" s="400" t="s">
        <v>3604</v>
      </c>
      <c r="C752" s="453">
        <v>8467.2999999999993</v>
      </c>
      <c r="D752" s="402" t="s">
        <v>1398</v>
      </c>
    </row>
    <row r="753" spans="1:4" ht="36.75" customHeight="1">
      <c r="A753" s="399"/>
      <c r="B753" s="400" t="s">
        <v>6228</v>
      </c>
      <c r="C753" s="453">
        <v>3409</v>
      </c>
      <c r="D753" s="402" t="s">
        <v>1398</v>
      </c>
    </row>
    <row r="754" spans="1:4" ht="36.75" customHeight="1">
      <c r="A754" s="399"/>
      <c r="B754" s="400" t="s">
        <v>6229</v>
      </c>
      <c r="C754" s="453">
        <v>469.42</v>
      </c>
      <c r="D754" s="402" t="s">
        <v>1398</v>
      </c>
    </row>
    <row r="755" spans="1:4" ht="36.75" customHeight="1">
      <c r="A755" s="399"/>
      <c r="B755" s="400" t="s">
        <v>3568</v>
      </c>
      <c r="C755" s="453"/>
      <c r="D755" s="402"/>
    </row>
    <row r="756" spans="1:4" ht="36.75" customHeight="1">
      <c r="A756" s="399"/>
      <c r="B756" s="400" t="s">
        <v>3605</v>
      </c>
      <c r="C756" s="453">
        <v>5640</v>
      </c>
      <c r="D756" s="402" t="s">
        <v>1398</v>
      </c>
    </row>
    <row r="757" spans="1:4" ht="36.75" customHeight="1">
      <c r="A757" s="399"/>
      <c r="B757" s="400" t="s">
        <v>3606</v>
      </c>
      <c r="C757" s="453">
        <v>1340</v>
      </c>
      <c r="D757" s="402" t="s">
        <v>1398</v>
      </c>
    </row>
    <row r="758" spans="1:4" ht="36.75" customHeight="1">
      <c r="A758" s="399"/>
      <c r="B758" s="400" t="s">
        <v>3607</v>
      </c>
      <c r="C758" s="453">
        <v>604</v>
      </c>
      <c r="D758" s="402" t="s">
        <v>1398</v>
      </c>
    </row>
    <row r="759" spans="1:4" ht="81.75" customHeight="1">
      <c r="A759" s="399"/>
      <c r="B759" s="400" t="s">
        <v>6230</v>
      </c>
      <c r="C759" s="453"/>
      <c r="D759" s="402"/>
    </row>
    <row r="760" spans="1:4" ht="36.75" customHeight="1">
      <c r="A760" s="399"/>
      <c r="B760" s="400" t="s">
        <v>2142</v>
      </c>
      <c r="C760" s="453">
        <v>1000.51</v>
      </c>
      <c r="D760" s="402" t="s">
        <v>1398</v>
      </c>
    </row>
    <row r="761" spans="1:4" ht="36.75" customHeight="1">
      <c r="A761" s="399"/>
      <c r="B761" s="400" t="s">
        <v>1270</v>
      </c>
      <c r="C761" s="453">
        <v>1003.51</v>
      </c>
      <c r="D761" s="402" t="s">
        <v>1398</v>
      </c>
    </row>
    <row r="762" spans="1:4" ht="36.75" customHeight="1">
      <c r="A762" s="399"/>
      <c r="B762" s="400" t="s">
        <v>6231</v>
      </c>
      <c r="C762" s="453">
        <v>769.3</v>
      </c>
      <c r="D762" s="402" t="s">
        <v>1398</v>
      </c>
    </row>
    <row r="763" spans="1:4" ht="36.75" customHeight="1">
      <c r="A763" s="399"/>
      <c r="B763" s="400" t="s">
        <v>6232</v>
      </c>
      <c r="C763" s="453">
        <v>536.54999999999995</v>
      </c>
      <c r="D763" s="402" t="s">
        <v>1398</v>
      </c>
    </row>
    <row r="764" spans="1:4" ht="36.75" customHeight="1">
      <c r="A764" s="399"/>
      <c r="B764" s="400" t="s">
        <v>4679</v>
      </c>
      <c r="C764" s="453">
        <v>675</v>
      </c>
      <c r="D764" s="496" t="s">
        <v>1771</v>
      </c>
    </row>
    <row r="765" spans="1:4" ht="36.75" customHeight="1">
      <c r="A765" s="399"/>
      <c r="B765" s="400" t="s">
        <v>3612</v>
      </c>
      <c r="C765" s="453">
        <v>435</v>
      </c>
      <c r="D765" s="496" t="s">
        <v>1771</v>
      </c>
    </row>
    <row r="766" spans="1:4" ht="36.75" customHeight="1">
      <c r="A766" s="399"/>
      <c r="B766" s="400" t="s">
        <v>3569</v>
      </c>
      <c r="C766" s="453">
        <v>356</v>
      </c>
      <c r="D766" s="496" t="s">
        <v>1771</v>
      </c>
    </row>
    <row r="767" spans="1:4" ht="36.75" customHeight="1">
      <c r="A767" s="399"/>
      <c r="B767" s="400" t="s">
        <v>3570</v>
      </c>
      <c r="C767" s="453">
        <v>317</v>
      </c>
      <c r="D767" s="496" t="s">
        <v>1771</v>
      </c>
    </row>
    <row r="768" spans="1:4" ht="36.75" customHeight="1">
      <c r="A768" s="399"/>
      <c r="B768" s="400" t="s">
        <v>3600</v>
      </c>
      <c r="C768" s="453">
        <v>176.84</v>
      </c>
      <c r="D768" s="496" t="s">
        <v>826</v>
      </c>
    </row>
    <row r="769" spans="1:4" ht="36.75" customHeight="1">
      <c r="A769" s="399"/>
      <c r="B769" s="400" t="s">
        <v>6233</v>
      </c>
      <c r="C769" s="453">
        <v>463</v>
      </c>
      <c r="D769" s="496" t="s">
        <v>1398</v>
      </c>
    </row>
    <row r="770" spans="1:4" ht="36.75" customHeight="1">
      <c r="A770" s="399"/>
      <c r="B770" s="400" t="s">
        <v>6234</v>
      </c>
      <c r="C770" s="453">
        <v>293</v>
      </c>
      <c r="D770" s="453" t="s">
        <v>1398</v>
      </c>
    </row>
    <row r="771" spans="1:4" ht="36.75" customHeight="1">
      <c r="A771" s="399"/>
      <c r="B771" s="497" t="s">
        <v>4528</v>
      </c>
      <c r="C771" s="498">
        <f>Data!R1456</f>
        <v>6236.68</v>
      </c>
      <c r="D771" s="499" t="s">
        <v>2283</v>
      </c>
    </row>
    <row r="772" spans="1:4" ht="36.75" customHeight="1">
      <c r="A772" s="399"/>
      <c r="B772" s="497" t="s">
        <v>4532</v>
      </c>
      <c r="C772" s="497">
        <f>Data!K4001</f>
        <v>0</v>
      </c>
      <c r="D772" s="497" t="s">
        <v>2283</v>
      </c>
    </row>
    <row r="773" spans="1:4" ht="36.75" customHeight="1">
      <c r="A773" s="399"/>
      <c r="B773" s="497" t="s">
        <v>4526</v>
      </c>
      <c r="C773" s="497">
        <f>'Sliding and french window'!F310</f>
        <v>5580.9</v>
      </c>
      <c r="D773" s="497" t="s">
        <v>2283</v>
      </c>
    </row>
    <row r="774" spans="1:4" ht="36.75" customHeight="1">
      <c r="A774" s="399"/>
      <c r="B774" s="497" t="s">
        <v>4529</v>
      </c>
      <c r="C774" s="497">
        <f>'Sliding and french window'!F145</f>
        <v>5573</v>
      </c>
      <c r="D774" s="497" t="s">
        <v>2283</v>
      </c>
    </row>
    <row r="775" spans="1:4" ht="36.75" customHeight="1">
      <c r="A775" s="399"/>
      <c r="B775" s="497" t="s">
        <v>4530</v>
      </c>
      <c r="C775" s="497">
        <f>'Sliding and french window'!F167</f>
        <v>4875.91</v>
      </c>
      <c r="D775" s="497" t="s">
        <v>2283</v>
      </c>
    </row>
    <row r="776" spans="1:4" ht="36.75" customHeight="1">
      <c r="A776" s="399"/>
      <c r="B776" s="497" t="s">
        <v>4531</v>
      </c>
      <c r="C776" s="497">
        <f>Data!K4017</f>
        <v>0</v>
      </c>
      <c r="D776" s="497" t="s">
        <v>2283</v>
      </c>
    </row>
    <row r="777" spans="1:4" ht="36.75" customHeight="1">
      <c r="A777" s="399"/>
      <c r="B777" s="497" t="s">
        <v>4322</v>
      </c>
      <c r="C777" s="497">
        <f>Data!K4032</f>
        <v>0</v>
      </c>
      <c r="D777" s="497" t="s">
        <v>2283</v>
      </c>
    </row>
    <row r="778" spans="1:4" ht="36.75" customHeight="1">
      <c r="A778" s="399"/>
      <c r="B778" s="497" t="s">
        <v>4323</v>
      </c>
      <c r="C778" s="497">
        <f>Data!K4044</f>
        <v>0</v>
      </c>
      <c r="D778" s="497" t="s">
        <v>2283</v>
      </c>
    </row>
    <row r="779" spans="1:4" ht="36.75" customHeight="1">
      <c r="A779" s="399"/>
      <c r="B779" s="497" t="s">
        <v>4527</v>
      </c>
      <c r="C779" s="497">
        <f>Data!R1546</f>
        <v>4991.1499999999996</v>
      </c>
      <c r="D779" s="497" t="s">
        <v>2283</v>
      </c>
    </row>
    <row r="780" spans="1:4" ht="36.75" customHeight="1">
      <c r="A780" s="399"/>
      <c r="B780" s="400" t="s">
        <v>3599</v>
      </c>
      <c r="C780" s="453">
        <v>6950</v>
      </c>
      <c r="D780" s="496" t="s">
        <v>1398</v>
      </c>
    </row>
    <row r="781" spans="1:4" ht="36.75" customHeight="1">
      <c r="A781" s="399"/>
      <c r="B781" s="400" t="s">
        <v>3631</v>
      </c>
      <c r="C781" s="453">
        <v>634</v>
      </c>
      <c r="D781" s="496" t="s">
        <v>1398</v>
      </c>
    </row>
    <row r="782" spans="1:4" ht="36.75" customHeight="1">
      <c r="A782" s="399"/>
      <c r="B782" s="400" t="s">
        <v>3648</v>
      </c>
      <c r="C782" s="453">
        <v>9470</v>
      </c>
      <c r="D782" s="496" t="s">
        <v>1398</v>
      </c>
    </row>
    <row r="783" spans="1:4" ht="36.75" customHeight="1">
      <c r="A783" s="399"/>
      <c r="B783" s="400" t="s">
        <v>3613</v>
      </c>
      <c r="C783" s="453">
        <v>293</v>
      </c>
      <c r="D783" s="496" t="s">
        <v>1398</v>
      </c>
    </row>
    <row r="784" spans="1:4" ht="36.75" customHeight="1">
      <c r="A784" s="399"/>
      <c r="B784" s="400" t="s">
        <v>6235</v>
      </c>
      <c r="C784" s="453">
        <v>704.75</v>
      </c>
      <c r="D784" s="402" t="s">
        <v>1398</v>
      </c>
    </row>
    <row r="785" spans="1:4" ht="36.75" customHeight="1">
      <c r="A785" s="399"/>
      <c r="B785" s="400" t="s">
        <v>6236</v>
      </c>
      <c r="C785" s="453">
        <v>514.85</v>
      </c>
      <c r="D785" s="402" t="s">
        <v>1398</v>
      </c>
    </row>
    <row r="786" spans="1:4" ht="36.75" customHeight="1">
      <c r="A786" s="399"/>
      <c r="B786" s="500" t="s">
        <v>6237</v>
      </c>
      <c r="C786" s="453">
        <v>473.5</v>
      </c>
      <c r="D786" s="496" t="s">
        <v>826</v>
      </c>
    </row>
    <row r="787" spans="1:4" ht="36.75" customHeight="1">
      <c r="A787" s="399"/>
      <c r="B787" s="500" t="s">
        <v>6238</v>
      </c>
      <c r="C787" s="501">
        <v>1003</v>
      </c>
      <c r="D787" s="496" t="s">
        <v>1398</v>
      </c>
    </row>
    <row r="788" spans="1:4" ht="36.75" customHeight="1">
      <c r="A788" s="399"/>
      <c r="B788" s="500" t="s">
        <v>3608</v>
      </c>
      <c r="C788" s="453">
        <v>11481.8</v>
      </c>
      <c r="D788" s="496" t="s">
        <v>1398</v>
      </c>
    </row>
    <row r="789" spans="1:4" ht="36.75" customHeight="1">
      <c r="A789" s="399"/>
      <c r="B789" s="500" t="s">
        <v>3623</v>
      </c>
      <c r="C789" s="453">
        <v>5325.6</v>
      </c>
      <c r="D789" s="496" t="s">
        <v>1398</v>
      </c>
    </row>
    <row r="790" spans="1:4" ht="36.75" customHeight="1">
      <c r="A790" s="399"/>
      <c r="B790" s="500" t="s">
        <v>3624</v>
      </c>
      <c r="C790" s="453">
        <v>8254.6</v>
      </c>
      <c r="D790" s="496" t="s">
        <v>1398</v>
      </c>
    </row>
    <row r="791" spans="1:4" ht="36.75" customHeight="1">
      <c r="A791" s="399"/>
      <c r="B791" s="500" t="s">
        <v>3625</v>
      </c>
      <c r="C791" s="453">
        <v>6588</v>
      </c>
      <c r="D791" s="496" t="s">
        <v>1398</v>
      </c>
    </row>
    <row r="792" spans="1:4" ht="36.75" customHeight="1">
      <c r="A792" s="399"/>
      <c r="B792" s="500" t="s">
        <v>6239</v>
      </c>
      <c r="C792" s="453">
        <v>593</v>
      </c>
      <c r="D792" s="502" t="s">
        <v>1398</v>
      </c>
    </row>
    <row r="793" spans="1:4" ht="36.75" customHeight="1">
      <c r="A793" s="503"/>
      <c r="B793" s="504" t="s">
        <v>4387</v>
      </c>
      <c r="C793" s="505"/>
      <c r="D793" s="506"/>
    </row>
    <row r="794" spans="1:4" s="507" customFormat="1" ht="36.75" customHeight="1">
      <c r="A794" s="399"/>
      <c r="B794" s="452" t="s">
        <v>3571</v>
      </c>
      <c r="C794" s="453">
        <v>6300</v>
      </c>
      <c r="D794" s="455" t="s">
        <v>2283</v>
      </c>
    </row>
    <row r="795" spans="1:4" ht="36.75" customHeight="1">
      <c r="A795" s="399"/>
      <c r="B795" s="452" t="s">
        <v>3572</v>
      </c>
      <c r="C795" s="453">
        <v>6300</v>
      </c>
      <c r="D795" s="455" t="s">
        <v>2283</v>
      </c>
    </row>
    <row r="796" spans="1:4" ht="36.75" customHeight="1">
      <c r="A796" s="399"/>
      <c r="B796" s="452" t="s">
        <v>3573</v>
      </c>
      <c r="C796" s="453">
        <v>6300</v>
      </c>
      <c r="D796" s="455" t="s">
        <v>2283</v>
      </c>
    </row>
    <row r="797" spans="1:4" ht="36.75" customHeight="1">
      <c r="A797" s="399"/>
      <c r="B797" s="452" t="s">
        <v>3574</v>
      </c>
      <c r="C797" s="453">
        <v>6300</v>
      </c>
      <c r="D797" s="455" t="s">
        <v>2283</v>
      </c>
    </row>
    <row r="798" spans="1:4" ht="36.75" customHeight="1">
      <c r="A798" s="399"/>
      <c r="B798" s="452" t="s">
        <v>3575</v>
      </c>
      <c r="C798" s="453">
        <v>6300</v>
      </c>
      <c r="D798" s="455" t="s">
        <v>2283</v>
      </c>
    </row>
    <row r="799" spans="1:4" ht="36.75" customHeight="1">
      <c r="A799" s="399"/>
      <c r="B799" s="452">
        <v>0</v>
      </c>
      <c r="C799" s="453">
        <v>6300</v>
      </c>
      <c r="D799" s="455" t="s">
        <v>2283</v>
      </c>
    </row>
    <row r="800" spans="1:4" ht="36.75" customHeight="1">
      <c r="A800" s="399"/>
      <c r="B800" s="452" t="s">
        <v>3576</v>
      </c>
      <c r="C800" s="453">
        <v>6300</v>
      </c>
      <c r="D800" s="455" t="s">
        <v>2283</v>
      </c>
    </row>
    <row r="801" spans="1:4" ht="36.75" customHeight="1">
      <c r="A801" s="399"/>
      <c r="B801" s="452" t="s">
        <v>3577</v>
      </c>
      <c r="C801" s="453">
        <v>6300</v>
      </c>
      <c r="D801" s="455" t="s">
        <v>2283</v>
      </c>
    </row>
    <row r="802" spans="1:4" ht="36.75" customHeight="1">
      <c r="A802" s="399"/>
      <c r="B802" s="440" t="s">
        <v>3616</v>
      </c>
      <c r="C802" s="411">
        <v>5654</v>
      </c>
      <c r="D802" s="469" t="s">
        <v>3617</v>
      </c>
    </row>
    <row r="803" spans="1:4" ht="36.75" customHeight="1">
      <c r="A803" s="399"/>
      <c r="B803" s="508" t="s">
        <v>5935</v>
      </c>
      <c r="C803" s="404">
        <v>8106</v>
      </c>
      <c r="D803" s="496" t="s">
        <v>2283</v>
      </c>
    </row>
    <row r="804" spans="1:4" ht="36.75" customHeight="1">
      <c r="A804" s="399"/>
      <c r="B804" s="508" t="s">
        <v>5933</v>
      </c>
      <c r="C804" s="404">
        <v>7482</v>
      </c>
      <c r="D804" s="496" t="s">
        <v>2283</v>
      </c>
    </row>
    <row r="805" spans="1:4" ht="36.75" customHeight="1">
      <c r="A805" s="399"/>
      <c r="B805" s="440" t="s">
        <v>5081</v>
      </c>
      <c r="C805" s="453">
        <v>25000</v>
      </c>
      <c r="D805" s="455" t="s">
        <v>282</v>
      </c>
    </row>
    <row r="806" spans="1:4" ht="36.75" customHeight="1">
      <c r="A806" s="399"/>
      <c r="B806" s="440" t="s">
        <v>5934</v>
      </c>
      <c r="C806" s="419">
        <v>2419</v>
      </c>
      <c r="D806" s="509" t="s">
        <v>2283</v>
      </c>
    </row>
    <row r="807" spans="1:4" ht="36.75" customHeight="1">
      <c r="A807" s="399"/>
      <c r="B807" s="510" t="s">
        <v>4998</v>
      </c>
      <c r="C807" s="511"/>
      <c r="D807" s="512"/>
    </row>
    <row r="808" spans="1:4" ht="36.75" customHeight="1">
      <c r="A808" s="399"/>
      <c r="B808" s="508" t="s">
        <v>3598</v>
      </c>
      <c r="C808" s="453"/>
      <c r="D808" s="455"/>
    </row>
    <row r="809" spans="1:4" ht="36.75" customHeight="1">
      <c r="A809" s="399"/>
      <c r="B809" s="513" t="s">
        <v>4389</v>
      </c>
      <c r="C809" s="514">
        <f>Data!X3597</f>
        <v>2715.07</v>
      </c>
      <c r="D809" s="515" t="s">
        <v>2283</v>
      </c>
    </row>
    <row r="810" spans="1:4" ht="36.75" customHeight="1">
      <c r="A810" s="399"/>
      <c r="B810" s="516" t="s">
        <v>5083</v>
      </c>
      <c r="C810" s="514">
        <f>Data!X3614</f>
        <v>2731.19</v>
      </c>
      <c r="D810" s="455" t="s">
        <v>2283</v>
      </c>
    </row>
    <row r="811" spans="1:4" ht="36.75" customHeight="1">
      <c r="A811" s="399"/>
      <c r="B811" s="513" t="s">
        <v>4390</v>
      </c>
      <c r="C811" s="514">
        <f>Data!X3582</f>
        <v>2757.48</v>
      </c>
      <c r="D811" s="455" t="s">
        <v>2283</v>
      </c>
    </row>
    <row r="812" spans="1:4" ht="36.75" customHeight="1">
      <c r="A812" s="399"/>
      <c r="B812" s="516" t="s">
        <v>5084</v>
      </c>
      <c r="C812" s="514">
        <f>Data!X3566</f>
        <v>2831.79</v>
      </c>
      <c r="D812" s="455" t="s">
        <v>2283</v>
      </c>
    </row>
    <row r="813" spans="1:4" ht="36.75" customHeight="1">
      <c r="A813" s="399"/>
      <c r="B813" s="513" t="s">
        <v>4391</v>
      </c>
      <c r="C813" s="514">
        <f>Data!K3534</f>
        <v>2964.88</v>
      </c>
      <c r="D813" s="455" t="s">
        <v>2283</v>
      </c>
    </row>
    <row r="814" spans="1:4" ht="36.75" customHeight="1">
      <c r="A814" s="399"/>
      <c r="B814" s="516" t="s">
        <v>5082</v>
      </c>
      <c r="C814" s="517">
        <f>Data!X3629</f>
        <v>2989.57</v>
      </c>
      <c r="D814" s="455" t="s">
        <v>2283</v>
      </c>
    </row>
    <row r="815" spans="1:4" ht="36.75" customHeight="1">
      <c r="A815" s="399"/>
      <c r="B815" s="513" t="s">
        <v>4392</v>
      </c>
      <c r="C815" s="514">
        <f>Data!K3550</f>
        <v>2798.45</v>
      </c>
      <c r="D815" s="455" t="s">
        <v>2283</v>
      </c>
    </row>
    <row r="816" spans="1:4" ht="36.75" customHeight="1">
      <c r="A816" s="399"/>
      <c r="B816" s="513" t="s">
        <v>4393</v>
      </c>
      <c r="C816" s="514">
        <f>Data!X3550</f>
        <v>2771.11</v>
      </c>
      <c r="D816" s="455" t="s">
        <v>2283</v>
      </c>
    </row>
    <row r="817" spans="1:4" ht="36.75" customHeight="1">
      <c r="A817" s="399"/>
      <c r="B817" s="516" t="s">
        <v>4394</v>
      </c>
      <c r="C817" s="514">
        <f>Data!AG3550</f>
        <v>2865.54</v>
      </c>
      <c r="D817" s="455" t="s">
        <v>2283</v>
      </c>
    </row>
    <row r="818" spans="1:4" ht="36.75" customHeight="1">
      <c r="A818" s="399"/>
      <c r="B818" s="516" t="s">
        <v>5085</v>
      </c>
      <c r="C818" s="514">
        <f>Data!AD3630</f>
        <v>2264.29</v>
      </c>
      <c r="D818" s="455" t="s">
        <v>2283</v>
      </c>
    </row>
    <row r="819" spans="1:4" ht="36.75" customHeight="1">
      <c r="A819" s="399"/>
      <c r="B819" s="400" t="s">
        <v>3578</v>
      </c>
      <c r="C819" s="404">
        <f>Data!K2354</f>
        <v>32.85</v>
      </c>
      <c r="D819" s="469" t="s">
        <v>2283</v>
      </c>
    </row>
    <row r="820" spans="1:4" ht="36.75" customHeight="1">
      <c r="A820" s="399"/>
      <c r="B820" s="508" t="s">
        <v>4946</v>
      </c>
      <c r="C820" s="404"/>
      <c r="D820" s="469"/>
    </row>
    <row r="821" spans="1:4" ht="36.75" customHeight="1">
      <c r="A821" s="399"/>
      <c r="B821" s="400" t="s">
        <v>1252</v>
      </c>
      <c r="C821" s="404">
        <f>Data!AD1198</f>
        <v>1965.5</v>
      </c>
      <c r="D821" s="469" t="s">
        <v>2283</v>
      </c>
    </row>
    <row r="822" spans="1:4" ht="36.75" customHeight="1">
      <c r="A822" s="399"/>
      <c r="B822" s="400" t="s">
        <v>1386</v>
      </c>
      <c r="C822" s="404">
        <f>Data!AD1199</f>
        <v>1970.22</v>
      </c>
      <c r="D822" s="469" t="s">
        <v>2283</v>
      </c>
    </row>
    <row r="823" spans="1:4" ht="36.75" customHeight="1">
      <c r="A823" s="399"/>
      <c r="B823" s="400" t="s">
        <v>1434</v>
      </c>
      <c r="C823" s="404">
        <f>Data!AD1200</f>
        <v>1974.94</v>
      </c>
      <c r="D823" s="469" t="s">
        <v>2283</v>
      </c>
    </row>
    <row r="824" spans="1:4" ht="36.75" customHeight="1">
      <c r="A824" s="399"/>
      <c r="B824" s="400" t="s">
        <v>1324</v>
      </c>
      <c r="C824" s="404">
        <f>Data!AD1201</f>
        <v>1979.66</v>
      </c>
      <c r="D824" s="469" t="s">
        <v>2283</v>
      </c>
    </row>
    <row r="825" spans="1:4" ht="36.75" customHeight="1">
      <c r="A825" s="406"/>
      <c r="B825" s="518" t="s">
        <v>4680</v>
      </c>
      <c r="C825" s="408"/>
      <c r="D825" s="475"/>
    </row>
    <row r="826" spans="1:4" s="410" customFormat="1" ht="36.75" customHeight="1">
      <c r="A826" s="406"/>
      <c r="B826" s="407" t="s">
        <v>1252</v>
      </c>
      <c r="C826" s="408">
        <f>Data!AK1198</f>
        <v>1113.3</v>
      </c>
      <c r="D826" s="475" t="s">
        <v>2283</v>
      </c>
    </row>
    <row r="827" spans="1:4" s="410" customFormat="1" ht="36.75" customHeight="1">
      <c r="A827" s="406"/>
      <c r="B827" s="407" t="s">
        <v>1386</v>
      </c>
      <c r="C827" s="408">
        <f>Data!AK1199</f>
        <v>1115.6600000000001</v>
      </c>
      <c r="D827" s="475" t="s">
        <v>2283</v>
      </c>
    </row>
    <row r="828" spans="1:4" s="410" customFormat="1" ht="36.75" customHeight="1">
      <c r="A828" s="406"/>
      <c r="B828" s="407" t="s">
        <v>1434</v>
      </c>
      <c r="C828" s="408">
        <f>Data!AK1200</f>
        <v>1118.02</v>
      </c>
      <c r="D828" s="475" t="s">
        <v>2283</v>
      </c>
    </row>
    <row r="829" spans="1:4" s="410" customFormat="1" ht="36.75" customHeight="1">
      <c r="A829" s="406"/>
      <c r="B829" s="407" t="s">
        <v>4249</v>
      </c>
      <c r="C829" s="408">
        <f>Data!AK1201</f>
        <v>1119.97</v>
      </c>
      <c r="D829" s="475" t="s">
        <v>2283</v>
      </c>
    </row>
    <row r="830" spans="1:4" s="410" customFormat="1" ht="36.75" customHeight="1">
      <c r="A830" s="399"/>
      <c r="B830" s="497" t="s">
        <v>3801</v>
      </c>
      <c r="C830" s="453"/>
      <c r="D830" s="455"/>
    </row>
    <row r="831" spans="1:4" ht="36.75" customHeight="1">
      <c r="A831" s="399"/>
      <c r="B831" s="519" t="s">
        <v>4376</v>
      </c>
      <c r="C831" s="453">
        <f>Data!R1487</f>
        <v>5118.3999999999996</v>
      </c>
      <c r="D831" s="455" t="s">
        <v>2283</v>
      </c>
    </row>
    <row r="832" spans="1:4" ht="36.75" customHeight="1">
      <c r="A832" s="399"/>
      <c r="B832" s="519" t="s">
        <v>4215</v>
      </c>
      <c r="C832" s="453">
        <f>Data!R1480</f>
        <v>5115.5600000000004</v>
      </c>
      <c r="D832" s="455" t="s">
        <v>2283</v>
      </c>
    </row>
    <row r="833" spans="1:4" ht="36.75" customHeight="1">
      <c r="A833" s="399"/>
      <c r="B833" s="519" t="s">
        <v>3802</v>
      </c>
      <c r="C833" s="453">
        <f>Data!R1480</f>
        <v>5115.5600000000004</v>
      </c>
      <c r="D833" s="455" t="s">
        <v>2283</v>
      </c>
    </row>
    <row r="834" spans="1:4" ht="36.75" customHeight="1">
      <c r="A834" s="399"/>
      <c r="B834" s="519" t="s">
        <v>3949</v>
      </c>
      <c r="C834" s="453">
        <f>Data!X1448</f>
        <v>5345.47</v>
      </c>
      <c r="D834" s="455" t="s">
        <v>2283</v>
      </c>
    </row>
    <row r="835" spans="1:4" ht="36.75" customHeight="1">
      <c r="A835" s="399"/>
      <c r="B835" s="519" t="s">
        <v>3948</v>
      </c>
      <c r="C835" s="453">
        <f>Data!X1441</f>
        <v>5680.39</v>
      </c>
      <c r="D835" s="455" t="s">
        <v>2283</v>
      </c>
    </row>
    <row r="836" spans="1:4" ht="36.75" customHeight="1">
      <c r="A836" s="399"/>
      <c r="B836" s="497" t="str">
        <f>'[4]Bldg+Dev'!$B$566</f>
        <v>Supply &amp; Fixing of MS door  (for lockup door )</v>
      </c>
      <c r="C836" s="404"/>
      <c r="D836" s="469"/>
    </row>
    <row r="837" spans="1:4" ht="36.75" customHeight="1">
      <c r="A837" s="399"/>
      <c r="B837" s="470" t="s">
        <v>2050</v>
      </c>
      <c r="C837" s="404">
        <f>Data!K2546</f>
        <v>9385.85</v>
      </c>
      <c r="D837" s="469" t="s">
        <v>1714</v>
      </c>
    </row>
    <row r="838" spans="1:4" ht="36.75" customHeight="1">
      <c r="A838" s="399"/>
      <c r="B838" s="470" t="s">
        <v>598</v>
      </c>
      <c r="C838" s="404">
        <f>Data!K2581</f>
        <v>6112.29</v>
      </c>
      <c r="D838" s="469" t="s">
        <v>1398</v>
      </c>
    </row>
    <row r="839" spans="1:4" ht="36.75" customHeight="1">
      <c r="A839" s="399"/>
      <c r="B839" s="499" t="s">
        <v>6362</v>
      </c>
      <c r="C839" s="404"/>
      <c r="D839" s="469"/>
    </row>
    <row r="840" spans="1:4" ht="36.75" customHeight="1">
      <c r="A840" s="399"/>
      <c r="B840" s="470" t="s">
        <v>2207</v>
      </c>
      <c r="C840" s="404">
        <f>Data!K2474</f>
        <v>4297.0600000000004</v>
      </c>
      <c r="D840" s="469" t="s">
        <v>2283</v>
      </c>
    </row>
    <row r="841" spans="1:4" ht="36.75" customHeight="1">
      <c r="A841" s="399"/>
      <c r="B841" s="470" t="s">
        <v>4374</v>
      </c>
      <c r="C841" s="453">
        <f>Data!J3861</f>
        <v>0</v>
      </c>
      <c r="D841" s="455" t="s">
        <v>2283</v>
      </c>
    </row>
    <row r="842" spans="1:4" ht="36.75" customHeight="1">
      <c r="A842" s="399"/>
      <c r="B842" s="470" t="s">
        <v>4375</v>
      </c>
      <c r="C842" s="453">
        <f>Data!R2522</f>
        <v>4348.82</v>
      </c>
      <c r="D842" s="455" t="s">
        <v>2283</v>
      </c>
    </row>
    <row r="843" spans="1:4" ht="36.75" customHeight="1">
      <c r="A843" s="399"/>
      <c r="B843" s="470" t="s">
        <v>4093</v>
      </c>
      <c r="C843" s="453">
        <f>Data!J3882</f>
        <v>0</v>
      </c>
      <c r="D843" s="455" t="s">
        <v>2283</v>
      </c>
    </row>
    <row r="844" spans="1:4" ht="36.75" customHeight="1">
      <c r="A844" s="406"/>
      <c r="B844" s="470" t="s">
        <v>599</v>
      </c>
      <c r="C844" s="408">
        <f>C1419</f>
        <v>4881.1899999999996</v>
      </c>
      <c r="D844" s="475" t="s">
        <v>2283</v>
      </c>
    </row>
    <row r="845" spans="1:4" s="410" customFormat="1" ht="36.75" customHeight="1">
      <c r="A845" s="399"/>
      <c r="B845" s="470" t="s">
        <v>1900</v>
      </c>
      <c r="C845" s="404">
        <f>building!C1420</f>
        <v>5175.3599999999997</v>
      </c>
      <c r="D845" s="469" t="s">
        <v>2283</v>
      </c>
    </row>
    <row r="846" spans="1:4" ht="36.75" customHeight="1">
      <c r="A846" s="399"/>
      <c r="B846" s="470" t="s">
        <v>2206</v>
      </c>
      <c r="C846" s="404">
        <f>C1421</f>
        <v>4457.7700000000004</v>
      </c>
      <c r="D846" s="469" t="s">
        <v>2283</v>
      </c>
    </row>
    <row r="847" spans="1:4" ht="36.75" customHeight="1">
      <c r="A847" s="399"/>
      <c r="B847" s="400" t="s">
        <v>4104</v>
      </c>
      <c r="C847" s="453">
        <v>61.8</v>
      </c>
      <c r="D847" s="469" t="s">
        <v>1398</v>
      </c>
    </row>
    <row r="848" spans="1:4" ht="36.75" customHeight="1">
      <c r="A848" s="399"/>
      <c r="B848" s="400" t="s">
        <v>3627</v>
      </c>
      <c r="C848" s="453">
        <v>405</v>
      </c>
      <c r="D848" s="402" t="s">
        <v>826</v>
      </c>
    </row>
    <row r="849" spans="1:4" ht="36.75" customHeight="1">
      <c r="A849" s="399"/>
      <c r="B849" s="400" t="s">
        <v>3632</v>
      </c>
      <c r="C849" s="419">
        <v>325</v>
      </c>
      <c r="D849" s="509" t="s">
        <v>2283</v>
      </c>
    </row>
    <row r="850" spans="1:4" ht="36.75" customHeight="1">
      <c r="A850" s="399"/>
      <c r="B850" s="400" t="s">
        <v>3633</v>
      </c>
      <c r="C850" s="419">
        <v>35</v>
      </c>
      <c r="D850" s="509" t="s">
        <v>2283</v>
      </c>
    </row>
    <row r="851" spans="1:4" ht="36.75" customHeight="1">
      <c r="A851" s="399"/>
      <c r="B851" s="440" t="s">
        <v>6240</v>
      </c>
      <c r="C851" s="520">
        <f>Data!AQ3117</f>
        <v>252</v>
      </c>
      <c r="D851" s="455" t="s">
        <v>1398</v>
      </c>
    </row>
    <row r="852" spans="1:4" ht="36.75" customHeight="1">
      <c r="A852" s="399"/>
      <c r="B852" s="440" t="s">
        <v>6241</v>
      </c>
      <c r="C852" s="520">
        <f>Data!AR3117</f>
        <v>241</v>
      </c>
      <c r="D852" s="455" t="s">
        <v>1398</v>
      </c>
    </row>
    <row r="853" spans="1:4" ht="36.75" customHeight="1">
      <c r="A853" s="399"/>
      <c r="B853" s="440" t="s">
        <v>3630</v>
      </c>
      <c r="C853" s="521">
        <f>Elec.Data!R807</f>
        <v>3458.67</v>
      </c>
      <c r="D853" s="451" t="s">
        <v>1398</v>
      </c>
    </row>
    <row r="854" spans="1:4" ht="36.75" customHeight="1">
      <c r="A854" s="399"/>
      <c r="B854" s="400" t="s">
        <v>5727</v>
      </c>
      <c r="C854" s="400">
        <f>Data!K2344</f>
        <v>997.27</v>
      </c>
      <c r="D854" s="402" t="s">
        <v>826</v>
      </c>
    </row>
    <row r="855" spans="1:4" ht="36.75" customHeight="1">
      <c r="A855" s="399"/>
      <c r="B855" s="400" t="s">
        <v>5728</v>
      </c>
      <c r="C855" s="400">
        <f>Data!R2449</f>
        <v>958.63</v>
      </c>
      <c r="D855" s="402"/>
    </row>
    <row r="856" spans="1:4" ht="72" customHeight="1">
      <c r="A856" s="399"/>
      <c r="B856" s="400" t="s">
        <v>5086</v>
      </c>
      <c r="C856" s="453">
        <f>Data!X1348</f>
        <v>1701.03</v>
      </c>
      <c r="D856" s="402" t="s">
        <v>1842</v>
      </c>
    </row>
    <row r="857" spans="1:4" ht="84" customHeight="1">
      <c r="A857" s="399"/>
      <c r="B857" s="400" t="s">
        <v>5229</v>
      </c>
      <c r="C857" s="453">
        <f>C856-(Data!X1342/10)</f>
        <v>1466.4</v>
      </c>
      <c r="D857" s="402" t="s">
        <v>1842</v>
      </c>
    </row>
    <row r="858" spans="1:4" ht="36.75" customHeight="1">
      <c r="A858" s="399"/>
      <c r="B858" s="400" t="s">
        <v>4947</v>
      </c>
      <c r="C858" s="453">
        <f>C1430</f>
        <v>1661.04</v>
      </c>
      <c r="D858" s="402" t="s">
        <v>1842</v>
      </c>
    </row>
    <row r="859" spans="1:4" ht="36.75" customHeight="1">
      <c r="A859" s="399" t="s">
        <v>1331</v>
      </c>
      <c r="B859" s="400" t="s">
        <v>1408</v>
      </c>
      <c r="C859" s="411">
        <f>Data!K1798</f>
        <v>2010</v>
      </c>
      <c r="D859" s="402" t="s">
        <v>1398</v>
      </c>
    </row>
    <row r="860" spans="1:4" ht="36.75" customHeight="1">
      <c r="A860" s="399"/>
      <c r="B860" s="414" t="s">
        <v>3819</v>
      </c>
      <c r="C860" s="411"/>
      <c r="D860" s="402"/>
    </row>
    <row r="861" spans="1:4" ht="36.75" customHeight="1">
      <c r="A861" s="406"/>
      <c r="B861" s="407" t="s">
        <v>3820</v>
      </c>
      <c r="C861" s="522">
        <f>Data!K3678</f>
        <v>480.93</v>
      </c>
      <c r="D861" s="409" t="s">
        <v>826</v>
      </c>
    </row>
    <row r="862" spans="1:4" s="410" customFormat="1" ht="36.75" customHeight="1">
      <c r="A862" s="406"/>
      <c r="B862" s="407" t="s">
        <v>3986</v>
      </c>
      <c r="C862" s="522">
        <f>Data!K3698</f>
        <v>805.14</v>
      </c>
      <c r="D862" s="409" t="s">
        <v>826</v>
      </c>
    </row>
    <row r="863" spans="1:4" s="410" customFormat="1" ht="36.75" customHeight="1">
      <c r="A863" s="406"/>
      <c r="B863" s="415" t="s">
        <v>3821</v>
      </c>
      <c r="C863" s="522"/>
      <c r="D863" s="409"/>
    </row>
    <row r="864" spans="1:4" s="410" customFormat="1" ht="36.75" customHeight="1">
      <c r="A864" s="406"/>
      <c r="B864" s="407" t="s">
        <v>5584</v>
      </c>
      <c r="C864" s="522">
        <v>173</v>
      </c>
      <c r="D864" s="409" t="s">
        <v>1398</v>
      </c>
    </row>
    <row r="865" spans="1:4" s="410" customFormat="1" ht="36.75" customHeight="1">
      <c r="A865" s="406"/>
      <c r="B865" s="407" t="s">
        <v>5585</v>
      </c>
      <c r="C865" s="522">
        <v>553</v>
      </c>
      <c r="D865" s="409" t="s">
        <v>1398</v>
      </c>
    </row>
    <row r="866" spans="1:4" s="410" customFormat="1" ht="36.75" customHeight="1">
      <c r="A866" s="406"/>
      <c r="B866" s="415" t="s">
        <v>3822</v>
      </c>
      <c r="C866" s="522"/>
      <c r="D866" s="409"/>
    </row>
    <row r="867" spans="1:4" s="410" customFormat="1" ht="36.75" customHeight="1">
      <c r="A867" s="406"/>
      <c r="B867" s="407" t="s">
        <v>5586</v>
      </c>
      <c r="C867" s="522">
        <v>195</v>
      </c>
      <c r="D867" s="409" t="s">
        <v>1398</v>
      </c>
    </row>
    <row r="868" spans="1:4" s="410" customFormat="1" ht="36.75" customHeight="1">
      <c r="A868" s="406"/>
      <c r="B868" s="407" t="s">
        <v>4943</v>
      </c>
      <c r="C868" s="522">
        <v>367</v>
      </c>
      <c r="D868" s="523" t="s">
        <v>1398</v>
      </c>
    </row>
    <row r="869" spans="1:4" s="410" customFormat="1" ht="61.5" customHeight="1">
      <c r="A869" s="406"/>
      <c r="B869" s="407" t="s">
        <v>6242</v>
      </c>
      <c r="C869" s="524">
        <f>Data!R1979</f>
        <v>3343.37</v>
      </c>
      <c r="D869" s="409" t="s">
        <v>1398</v>
      </c>
    </row>
    <row r="870" spans="1:4" s="410" customFormat="1" ht="61.5" customHeight="1">
      <c r="A870" s="406"/>
      <c r="B870" s="407" t="s">
        <v>6243</v>
      </c>
      <c r="C870" s="524">
        <f>Data!R2000</f>
        <v>5240.7</v>
      </c>
      <c r="D870" s="409" t="s">
        <v>1398</v>
      </c>
    </row>
    <row r="871" spans="1:4" s="410" customFormat="1" ht="61.5" customHeight="1">
      <c r="A871" s="406"/>
      <c r="B871" s="407" t="s">
        <v>6244</v>
      </c>
      <c r="C871" s="522">
        <f>Data!R2019</f>
        <v>7084.3</v>
      </c>
      <c r="D871" s="409" t="s">
        <v>1398</v>
      </c>
    </row>
    <row r="872" spans="1:4" s="410" customFormat="1" ht="61.5" customHeight="1">
      <c r="A872" s="406"/>
      <c r="B872" s="407" t="s">
        <v>6245</v>
      </c>
      <c r="C872" s="522">
        <f>Data!R2038</f>
        <v>7478.3</v>
      </c>
      <c r="D872" s="409" t="s">
        <v>1398</v>
      </c>
    </row>
    <row r="873" spans="1:4" s="410" customFormat="1" ht="36.75" customHeight="1">
      <c r="A873" s="399"/>
      <c r="B873" s="499" t="s">
        <v>4521</v>
      </c>
      <c r="C873" s="453"/>
      <c r="D873" s="402"/>
    </row>
    <row r="874" spans="1:4" ht="36.75" customHeight="1">
      <c r="A874" s="399"/>
      <c r="B874" s="470" t="s">
        <v>3835</v>
      </c>
      <c r="C874" s="505">
        <f>'Sliding and french window'!F595</f>
        <v>2118.38</v>
      </c>
      <c r="D874" s="509" t="s">
        <v>2283</v>
      </c>
    </row>
    <row r="875" spans="1:4" ht="36.75" customHeight="1">
      <c r="A875" s="399"/>
      <c r="B875" s="470" t="s">
        <v>3836</v>
      </c>
      <c r="C875" s="453">
        <f>'Sliding and french window'!F558</f>
        <v>2413.36</v>
      </c>
      <c r="D875" s="509" t="s">
        <v>2283</v>
      </c>
    </row>
    <row r="876" spans="1:4" ht="36.75" customHeight="1">
      <c r="A876" s="399"/>
      <c r="B876" s="470" t="s">
        <v>3837</v>
      </c>
      <c r="C876" s="453">
        <f>'Sliding and french window'!F630</f>
        <v>2413.37</v>
      </c>
      <c r="D876" s="509" t="s">
        <v>2283</v>
      </c>
    </row>
    <row r="877" spans="1:4" ht="36.75" customHeight="1">
      <c r="A877" s="399"/>
      <c r="B877" s="470" t="s">
        <v>3838</v>
      </c>
      <c r="C877" s="453">
        <f>'Sliding and french window'!F666</f>
        <v>2870.15</v>
      </c>
      <c r="D877" s="509" t="s">
        <v>2283</v>
      </c>
    </row>
    <row r="878" spans="1:4" ht="36.75" customHeight="1">
      <c r="A878" s="399"/>
      <c r="B878" s="470" t="s">
        <v>4522</v>
      </c>
      <c r="C878" s="453">
        <f>'Sliding and french window'!F702</f>
        <v>3714.01</v>
      </c>
      <c r="D878" s="509" t="s">
        <v>2283</v>
      </c>
    </row>
    <row r="879" spans="1:4" ht="36.75" customHeight="1">
      <c r="A879" s="399"/>
      <c r="B879" s="497" t="s">
        <v>4525</v>
      </c>
      <c r="C879" s="419">
        <f>Data!X3169</f>
        <v>3446.86</v>
      </c>
      <c r="D879" s="440" t="s">
        <v>2283</v>
      </c>
    </row>
    <row r="880" spans="1:4" ht="99" customHeight="1">
      <c r="A880" s="399"/>
      <c r="B880" s="414" t="s">
        <v>3913</v>
      </c>
      <c r="C880" s="453"/>
      <c r="D880" s="473"/>
    </row>
    <row r="881" spans="1:4" ht="36.75" customHeight="1">
      <c r="A881" s="399"/>
      <c r="B881" s="400" t="s">
        <v>2142</v>
      </c>
      <c r="C881" s="453">
        <f>'  Coastal  Elec.Data '!K2860</f>
        <v>1678.69</v>
      </c>
      <c r="D881" s="469" t="s">
        <v>1398</v>
      </c>
    </row>
    <row r="882" spans="1:4" ht="36.75" customHeight="1">
      <c r="A882" s="399"/>
      <c r="B882" s="400" t="s">
        <v>1270</v>
      </c>
      <c r="C882" s="453">
        <f>'  Coastal  Elec.Data '!K2884</f>
        <v>1681.79</v>
      </c>
      <c r="D882" s="469" t="s">
        <v>1398</v>
      </c>
    </row>
    <row r="883" spans="1:4" ht="36.75" customHeight="1">
      <c r="A883" s="419"/>
      <c r="B883" s="400" t="s">
        <v>299</v>
      </c>
      <c r="C883" s="453">
        <f>'  Coastal  Elec.Data '!K2899</f>
        <v>1711.44</v>
      </c>
      <c r="D883" s="469" t="s">
        <v>1398</v>
      </c>
    </row>
    <row r="884" spans="1:4" ht="68.25" customHeight="1">
      <c r="A884" s="399"/>
      <c r="B884" s="400" t="s">
        <v>6246</v>
      </c>
      <c r="C884" s="453">
        <f>'  Coastal  Elec.Data '!K2921</f>
        <v>1734.1</v>
      </c>
      <c r="D884" s="469" t="s">
        <v>1398</v>
      </c>
    </row>
    <row r="885" spans="1:4" ht="68.25" customHeight="1">
      <c r="A885" s="399"/>
      <c r="B885" s="400" t="s">
        <v>6247</v>
      </c>
      <c r="C885" s="453">
        <f>'  Coastal  Elec.Data '!K2945</f>
        <v>3158.59</v>
      </c>
      <c r="D885" s="469" t="s">
        <v>1398</v>
      </c>
    </row>
    <row r="886" spans="1:4" ht="68.25" customHeight="1">
      <c r="A886" s="399">
        <v>67.099999999999994</v>
      </c>
      <c r="B886" s="400" t="s">
        <v>6248</v>
      </c>
      <c r="C886" s="453">
        <f>'  Coastal  Elec.Data '!K2977</f>
        <v>864.66</v>
      </c>
      <c r="D886" s="469" t="s">
        <v>1398</v>
      </c>
    </row>
    <row r="887" spans="1:4" ht="68.25" customHeight="1">
      <c r="A887" s="399"/>
      <c r="B887" s="400" t="s">
        <v>6249</v>
      </c>
      <c r="C887" s="453">
        <f>'  Coastal  Elec.Data '!K2965</f>
        <v>1161.3</v>
      </c>
      <c r="D887" s="469" t="s">
        <v>1398</v>
      </c>
    </row>
    <row r="888" spans="1:4" ht="68.25" customHeight="1">
      <c r="A888" s="399"/>
      <c r="B888" s="400" t="s">
        <v>6250</v>
      </c>
      <c r="C888" s="453">
        <f>'  Coastal  Elec.Data '!K2988</f>
        <v>134.47</v>
      </c>
      <c r="D888" s="469" t="s">
        <v>1398</v>
      </c>
    </row>
    <row r="889" spans="1:4" ht="68.25" customHeight="1">
      <c r="A889" s="399"/>
      <c r="B889" s="400" t="s">
        <v>6251</v>
      </c>
      <c r="C889" s="453">
        <f>Data!R1610</f>
        <v>89024.3</v>
      </c>
      <c r="D889" s="402" t="s">
        <v>528</v>
      </c>
    </row>
    <row r="890" spans="1:4" ht="68.25" customHeight="1">
      <c r="A890" s="399"/>
      <c r="B890" s="400" t="s">
        <v>6252</v>
      </c>
      <c r="C890" s="453">
        <f>Data!R1641</f>
        <v>347.53</v>
      </c>
      <c r="D890" s="402" t="s">
        <v>826</v>
      </c>
    </row>
    <row r="891" spans="1:4" ht="68.25" customHeight="1">
      <c r="A891" s="399"/>
      <c r="B891" s="414" t="s">
        <v>5087</v>
      </c>
      <c r="C891" s="453">
        <f>Data!K2332</f>
        <v>36.64</v>
      </c>
      <c r="D891" s="402"/>
    </row>
    <row r="892" spans="1:4" ht="68.25" customHeight="1">
      <c r="A892" s="399"/>
      <c r="B892" s="508" t="s">
        <v>3914</v>
      </c>
      <c r="C892" s="453"/>
      <c r="D892" s="402"/>
    </row>
    <row r="893" spans="1:4" ht="36.75" customHeight="1">
      <c r="A893" s="399"/>
      <c r="B893" s="400" t="s">
        <v>46</v>
      </c>
      <c r="C893" s="453">
        <f>Data!K1891</f>
        <v>252.01</v>
      </c>
      <c r="D893" s="402" t="s">
        <v>826</v>
      </c>
    </row>
    <row r="894" spans="1:4" ht="36.75" customHeight="1">
      <c r="A894" s="399"/>
      <c r="B894" s="400" t="s">
        <v>47</v>
      </c>
      <c r="C894" s="453">
        <f>Data!K1883</f>
        <v>234.4</v>
      </c>
      <c r="D894" s="402" t="s">
        <v>826</v>
      </c>
    </row>
    <row r="895" spans="1:4" ht="36.75" customHeight="1">
      <c r="A895" s="399"/>
      <c r="B895" s="400" t="s">
        <v>3857</v>
      </c>
      <c r="C895" s="453">
        <f>Data!K2768</f>
        <v>231.61</v>
      </c>
      <c r="D895" s="402" t="s">
        <v>826</v>
      </c>
    </row>
    <row r="896" spans="1:4" ht="36.75" customHeight="1">
      <c r="A896" s="399"/>
      <c r="B896" s="508" t="s">
        <v>3989</v>
      </c>
      <c r="C896" s="453">
        <f>Data!K3649</f>
        <v>370.07</v>
      </c>
      <c r="D896" s="469" t="s">
        <v>2283</v>
      </c>
    </row>
    <row r="897" spans="1:4" ht="36.75" customHeight="1">
      <c r="A897" s="406"/>
      <c r="B897" s="471" t="s">
        <v>3628</v>
      </c>
      <c r="C897" s="522">
        <f>Data!AF3116</f>
        <v>488</v>
      </c>
      <c r="D897" s="475" t="s">
        <v>1398</v>
      </c>
    </row>
    <row r="898" spans="1:4" s="410" customFormat="1" ht="36.75" customHeight="1">
      <c r="A898" s="406"/>
      <c r="B898" s="471" t="s">
        <v>3629</v>
      </c>
      <c r="C898" s="522">
        <f>Data!AH3116</f>
        <v>440</v>
      </c>
      <c r="D898" s="475" t="s">
        <v>1398</v>
      </c>
    </row>
    <row r="899" spans="1:4" s="410" customFormat="1" ht="36.75" customHeight="1">
      <c r="A899" s="399"/>
      <c r="B899" s="400" t="s">
        <v>3911</v>
      </c>
      <c r="C899" s="453">
        <v>51.4</v>
      </c>
      <c r="D899" s="509" t="s">
        <v>1645</v>
      </c>
    </row>
    <row r="900" spans="1:4" ht="36.75" customHeight="1">
      <c r="A900" s="406"/>
      <c r="B900" s="407" t="s">
        <v>4948</v>
      </c>
      <c r="C900" s="522">
        <f>Data!AD1230</f>
        <v>2301.69</v>
      </c>
      <c r="D900" s="475" t="s">
        <v>2283</v>
      </c>
    </row>
    <row r="901" spans="1:4" s="410" customFormat="1" ht="36.75" customHeight="1">
      <c r="A901" s="399" t="s">
        <v>3779</v>
      </c>
      <c r="B901" s="414" t="s">
        <v>4491</v>
      </c>
      <c r="C901" s="419"/>
      <c r="D901" s="419"/>
    </row>
    <row r="902" spans="1:4" ht="36.75" customHeight="1">
      <c r="A902" s="399"/>
      <c r="B902" s="414" t="s">
        <v>4130</v>
      </c>
      <c r="C902" s="525">
        <f>'pile data ( M30 grade) (2)'!F17</f>
        <v>5073.0600000000004</v>
      </c>
      <c r="D902" s="400" t="s">
        <v>826</v>
      </c>
    </row>
    <row r="903" spans="1:4" ht="36.75" customHeight="1">
      <c r="A903" s="399"/>
      <c r="B903" s="414" t="s">
        <v>4131</v>
      </c>
      <c r="C903" s="525">
        <f>'pile data ( M30 grade) (2)'!F81</f>
        <v>2487.2600000000002</v>
      </c>
      <c r="D903" s="400" t="s">
        <v>826</v>
      </c>
    </row>
    <row r="904" spans="1:4" ht="36.75" customHeight="1">
      <c r="A904" s="399"/>
      <c r="B904" s="414" t="s">
        <v>4132</v>
      </c>
      <c r="C904" s="525">
        <f>'pile data ( M30 grade) (2)'!F141</f>
        <v>2490.3200000000002</v>
      </c>
      <c r="D904" s="400" t="s">
        <v>826</v>
      </c>
    </row>
    <row r="905" spans="1:4" ht="36.75" customHeight="1">
      <c r="A905" s="399"/>
      <c r="B905" s="526" t="s">
        <v>3962</v>
      </c>
      <c r="C905" s="527"/>
      <c r="D905" s="528"/>
    </row>
    <row r="906" spans="1:4" ht="36.75" customHeight="1">
      <c r="A906" s="399"/>
      <c r="B906" s="414" t="s">
        <v>3963</v>
      </c>
      <c r="C906" s="529"/>
      <c r="D906" s="419"/>
    </row>
    <row r="907" spans="1:4" ht="36.75" customHeight="1">
      <c r="A907" s="399"/>
      <c r="B907" s="414" t="s">
        <v>4130</v>
      </c>
      <c r="C907" s="525">
        <f>'pile data ( M30 grade) (2)'!F28</f>
        <v>1265.8800000000001</v>
      </c>
      <c r="D907" s="400" t="s">
        <v>826</v>
      </c>
    </row>
    <row r="908" spans="1:4" ht="36.75" customHeight="1">
      <c r="A908" s="399"/>
      <c r="B908" s="414" t="s">
        <v>4131</v>
      </c>
      <c r="C908" s="525">
        <f>'pile data ( M30 grade) (2)'!F92</f>
        <v>1024.67</v>
      </c>
      <c r="D908" s="400" t="s">
        <v>826</v>
      </c>
    </row>
    <row r="909" spans="1:4" ht="36.75" customHeight="1">
      <c r="A909" s="399"/>
      <c r="B909" s="414" t="s">
        <v>4132</v>
      </c>
      <c r="C909" s="525">
        <f>'pile data ( M30 grade) (2)'!F152</f>
        <v>812</v>
      </c>
      <c r="D909" s="400" t="s">
        <v>826</v>
      </c>
    </row>
    <row r="910" spans="1:4" ht="36.75" customHeight="1">
      <c r="A910" s="399"/>
      <c r="B910" s="414" t="s">
        <v>3964</v>
      </c>
      <c r="C910" s="530">
        <v>50000</v>
      </c>
      <c r="D910" s="400" t="s">
        <v>1394</v>
      </c>
    </row>
    <row r="911" spans="1:4" ht="36.75" customHeight="1">
      <c r="A911" s="399"/>
      <c r="B911" s="414" t="s">
        <v>3965</v>
      </c>
      <c r="C911" s="530">
        <v>70000</v>
      </c>
      <c r="D911" s="400" t="s">
        <v>1394</v>
      </c>
    </row>
    <row r="912" spans="1:4" ht="36.75" customHeight="1">
      <c r="A912" s="399"/>
      <c r="B912" s="400" t="s">
        <v>6253</v>
      </c>
      <c r="C912" s="453">
        <v>713.54</v>
      </c>
      <c r="D912" s="402" t="s">
        <v>2283</v>
      </c>
    </row>
    <row r="913" spans="1:4" ht="81.75" customHeight="1">
      <c r="A913" s="399"/>
      <c r="B913" s="414" t="s">
        <v>4089</v>
      </c>
      <c r="C913" s="453"/>
      <c r="D913" s="402"/>
    </row>
    <row r="914" spans="1:4" ht="36.75" customHeight="1">
      <c r="A914" s="399"/>
      <c r="B914" s="400" t="s">
        <v>2142</v>
      </c>
      <c r="C914" s="453">
        <f>Elec.Data!K993</f>
        <v>921.2</v>
      </c>
      <c r="D914" s="402" t="s">
        <v>1398</v>
      </c>
    </row>
    <row r="915" spans="1:4" ht="36.75" customHeight="1">
      <c r="A915" s="399"/>
      <c r="B915" s="400" t="s">
        <v>1270</v>
      </c>
      <c r="C915" s="453">
        <f>Elec.Data!K1019</f>
        <v>923.2</v>
      </c>
      <c r="D915" s="402" t="s">
        <v>1398</v>
      </c>
    </row>
    <row r="916" spans="1:4" ht="36.75" customHeight="1">
      <c r="A916" s="399"/>
      <c r="B916" s="400" t="s">
        <v>6360</v>
      </c>
      <c r="C916" s="453">
        <f>Elec.Data!K1035</f>
        <v>961.2</v>
      </c>
      <c r="D916" s="402"/>
    </row>
    <row r="917" spans="1:4" ht="36.75" customHeight="1">
      <c r="A917" s="399"/>
      <c r="B917" s="400" t="s">
        <v>6254</v>
      </c>
      <c r="C917" s="453">
        <f>Elec.Data!K1096</f>
        <v>707.47</v>
      </c>
      <c r="D917" s="402" t="s">
        <v>1398</v>
      </c>
    </row>
    <row r="918" spans="1:4" ht="36.75" customHeight="1">
      <c r="A918" s="399"/>
      <c r="B918" s="400" t="s">
        <v>6255</v>
      </c>
      <c r="C918" s="453">
        <f>Elec.Data!K146</f>
        <v>869.5</v>
      </c>
      <c r="D918" s="402" t="s">
        <v>1398</v>
      </c>
    </row>
    <row r="919" spans="1:4" ht="36.75" customHeight="1">
      <c r="A919" s="399"/>
      <c r="B919" s="400" t="s">
        <v>6256</v>
      </c>
      <c r="C919" s="453">
        <f>Elec.Data!K1057</f>
        <v>1008.2</v>
      </c>
      <c r="D919" s="496" t="s">
        <v>1771</v>
      </c>
    </row>
    <row r="920" spans="1:4" ht="36.75" customHeight="1">
      <c r="A920" s="399"/>
      <c r="B920" s="414" t="s">
        <v>4127</v>
      </c>
      <c r="C920" s="453">
        <f>Data!K3793</f>
        <v>3879.13</v>
      </c>
      <c r="D920" s="402" t="s">
        <v>2283</v>
      </c>
    </row>
    <row r="921" spans="1:4" ht="36.75" customHeight="1">
      <c r="A921" s="399"/>
      <c r="B921" s="414" t="s">
        <v>4105</v>
      </c>
      <c r="C921" s="453">
        <f>Data!X3669</f>
        <v>6120.22</v>
      </c>
      <c r="D921" s="402" t="s">
        <v>2283</v>
      </c>
    </row>
    <row r="922" spans="1:4" ht="36.75" customHeight="1">
      <c r="A922" s="399"/>
      <c r="B922" s="414" t="s">
        <v>4126</v>
      </c>
      <c r="C922" s="453">
        <f>Data!X3697</f>
        <v>7903.15</v>
      </c>
      <c r="D922" s="402" t="s">
        <v>2283</v>
      </c>
    </row>
    <row r="923" spans="1:4" ht="36.75" customHeight="1">
      <c r="A923" s="399"/>
      <c r="B923" s="414" t="s">
        <v>4092</v>
      </c>
      <c r="C923" s="453">
        <f>Data!K3838</f>
        <v>1377.9</v>
      </c>
      <c r="D923" s="496" t="s">
        <v>2283</v>
      </c>
    </row>
    <row r="924" spans="1:4" ht="36.75" customHeight="1">
      <c r="A924" s="399"/>
      <c r="B924" s="440" t="s">
        <v>4091</v>
      </c>
      <c r="C924" s="453">
        <f>Data!K3815</f>
        <v>1664.57</v>
      </c>
      <c r="D924" s="496" t="s">
        <v>2283</v>
      </c>
    </row>
    <row r="925" spans="1:4" ht="36.75" customHeight="1">
      <c r="A925" s="399"/>
      <c r="B925" s="400" t="s">
        <v>5460</v>
      </c>
      <c r="C925" s="501">
        <v>1879</v>
      </c>
      <c r="D925" s="455" t="s">
        <v>1398</v>
      </c>
    </row>
    <row r="926" spans="1:4" ht="36.75" customHeight="1">
      <c r="A926" s="399"/>
      <c r="B926" s="407" t="s">
        <v>4138</v>
      </c>
      <c r="C926" s="476">
        <f>Elec.Data!K1266</f>
        <v>0</v>
      </c>
      <c r="D926" s="531" t="s">
        <v>1398</v>
      </c>
    </row>
    <row r="927" spans="1:4" ht="36.75" customHeight="1">
      <c r="A927" s="399"/>
      <c r="B927" s="407" t="s">
        <v>4388</v>
      </c>
      <c r="C927" s="476">
        <v>8100</v>
      </c>
      <c r="D927" s="531" t="s">
        <v>1398</v>
      </c>
    </row>
    <row r="928" spans="1:4" ht="36.75" customHeight="1">
      <c r="A928" s="406"/>
      <c r="B928" s="532" t="s">
        <v>4345</v>
      </c>
      <c r="C928" s="439">
        <v>829</v>
      </c>
      <c r="D928" s="475" t="s">
        <v>1398</v>
      </c>
    </row>
    <row r="929" spans="1:4" s="410" customFormat="1" ht="36.75" customHeight="1">
      <c r="A929" s="399"/>
      <c r="B929" s="533" t="s">
        <v>4139</v>
      </c>
      <c r="C929" s="534">
        <f>Elec.Data!R815</f>
        <v>8869</v>
      </c>
      <c r="D929" s="531" t="s">
        <v>1398</v>
      </c>
    </row>
    <row r="930" spans="1:4" ht="36.75" customHeight="1">
      <c r="A930" s="406">
        <v>21.6</v>
      </c>
      <c r="B930" s="415" t="s">
        <v>4310</v>
      </c>
      <c r="C930" s="408"/>
      <c r="D930" s="409"/>
    </row>
    <row r="931" spans="1:4" ht="36.75" customHeight="1">
      <c r="A931" s="483"/>
      <c r="B931" s="407" t="s">
        <v>573</v>
      </c>
      <c r="C931" s="408">
        <f>Data!K3951</f>
        <v>2799.82</v>
      </c>
      <c r="D931" s="409" t="s">
        <v>1398</v>
      </c>
    </row>
    <row r="932" spans="1:4" ht="36.75" customHeight="1">
      <c r="A932" s="435"/>
      <c r="B932" s="400" t="s">
        <v>3790</v>
      </c>
      <c r="C932" s="404">
        <f>Data!K3984</f>
        <v>3361.9</v>
      </c>
      <c r="D932" s="402" t="s">
        <v>1398</v>
      </c>
    </row>
    <row r="933" spans="1:4" ht="36.75" customHeight="1">
      <c r="A933" s="435"/>
      <c r="B933" s="400" t="s">
        <v>3694</v>
      </c>
      <c r="C933" s="404">
        <f>Data!K3967</f>
        <v>2761.38</v>
      </c>
      <c r="D933" s="402"/>
    </row>
    <row r="934" spans="1:4" ht="36.75" customHeight="1">
      <c r="A934" s="435"/>
      <c r="B934" s="400" t="s">
        <v>1904</v>
      </c>
      <c r="C934" s="411">
        <f>Data!K3933</f>
        <v>2822.66</v>
      </c>
      <c r="D934" s="402" t="s">
        <v>1398</v>
      </c>
    </row>
    <row r="935" spans="1:4" ht="36.75" customHeight="1">
      <c r="A935" s="435"/>
      <c r="B935" s="400" t="s">
        <v>6257</v>
      </c>
      <c r="C935" s="400">
        <v>135</v>
      </c>
      <c r="D935" s="402" t="s">
        <v>1398</v>
      </c>
    </row>
    <row r="936" spans="1:4" ht="36.75" customHeight="1">
      <c r="A936" s="435"/>
      <c r="B936" s="400" t="s">
        <v>4928</v>
      </c>
      <c r="C936" s="400">
        <f>Elec.Data!K959</f>
        <v>704.13</v>
      </c>
      <c r="D936" s="402" t="s">
        <v>1398</v>
      </c>
    </row>
    <row r="937" spans="1:4" ht="36.75" customHeight="1">
      <c r="A937" s="435"/>
      <c r="B937" s="400" t="s">
        <v>4690</v>
      </c>
      <c r="C937" s="400">
        <f>Elec.Data!K304</f>
        <v>529.20000000000005</v>
      </c>
      <c r="D937" s="402" t="s">
        <v>1398</v>
      </c>
    </row>
    <row r="938" spans="1:4" ht="36.75" customHeight="1">
      <c r="A938" s="435"/>
      <c r="B938" s="400" t="s">
        <v>4671</v>
      </c>
      <c r="C938" s="400">
        <f>Elec.Data!Y807</f>
        <v>4121.67</v>
      </c>
      <c r="D938" s="402" t="s">
        <v>1398</v>
      </c>
    </row>
    <row r="939" spans="1:4" ht="36.75" customHeight="1">
      <c r="A939" s="435"/>
      <c r="B939" s="400" t="s">
        <v>6258</v>
      </c>
      <c r="C939" s="400">
        <v>170</v>
      </c>
      <c r="D939" s="402" t="str">
        <f>D938</f>
        <v>Each</v>
      </c>
    </row>
    <row r="940" spans="1:4" ht="36.75" customHeight="1">
      <c r="A940" s="435"/>
      <c r="B940" s="415" t="s">
        <v>5939</v>
      </c>
      <c r="C940" s="535">
        <v>5508</v>
      </c>
      <c r="D940" s="409" t="s">
        <v>2283</v>
      </c>
    </row>
    <row r="941" spans="1:4" ht="36.75" customHeight="1">
      <c r="A941" s="435"/>
      <c r="B941" s="400" t="s">
        <v>4740</v>
      </c>
      <c r="C941" s="400">
        <f>Data!K3739</f>
        <v>95.19</v>
      </c>
      <c r="D941" s="402" t="s">
        <v>2283</v>
      </c>
    </row>
    <row r="942" spans="1:4" ht="36.75" customHeight="1">
      <c r="A942" s="435"/>
      <c r="B942" s="400" t="s">
        <v>4672</v>
      </c>
      <c r="C942" s="400">
        <f>'2 in 1 incl. F.E.'!F81</f>
        <v>40500</v>
      </c>
      <c r="D942" s="402" t="s">
        <v>1398</v>
      </c>
    </row>
    <row r="943" spans="1:4" ht="36.75" customHeight="1">
      <c r="A943" s="435"/>
      <c r="B943" s="400" t="s">
        <v>4708</v>
      </c>
      <c r="C943" s="400"/>
      <c r="D943" s="402"/>
    </row>
    <row r="944" spans="1:4" ht="36.75" customHeight="1">
      <c r="A944" s="435"/>
      <c r="B944" s="400" t="s">
        <v>4673</v>
      </c>
      <c r="C944" s="400">
        <v>31100</v>
      </c>
      <c r="D944" s="402" t="s">
        <v>1398</v>
      </c>
    </row>
    <row r="945" spans="1:4" ht="36.75" customHeight="1">
      <c r="A945" s="435"/>
      <c r="B945" s="400" t="s">
        <v>4709</v>
      </c>
      <c r="C945" s="400">
        <v>4160</v>
      </c>
      <c r="D945" s="402" t="s">
        <v>1398</v>
      </c>
    </row>
    <row r="946" spans="1:4" ht="36.75" customHeight="1">
      <c r="A946" s="435"/>
      <c r="B946" s="400" t="s">
        <v>4710</v>
      </c>
      <c r="C946" s="400">
        <v>880</v>
      </c>
      <c r="D946" s="402" t="s">
        <v>826</v>
      </c>
    </row>
    <row r="947" spans="1:4" ht="36.75" customHeight="1">
      <c r="A947" s="435"/>
      <c r="B947" s="400" t="s">
        <v>4711</v>
      </c>
      <c r="C947" s="400">
        <v>60</v>
      </c>
      <c r="D947" s="402" t="s">
        <v>826</v>
      </c>
    </row>
    <row r="948" spans="1:4" ht="36.75" customHeight="1">
      <c r="A948" s="435"/>
      <c r="B948" s="414" t="s">
        <v>4712</v>
      </c>
      <c r="C948" s="400"/>
      <c r="D948" s="402"/>
    </row>
    <row r="949" spans="1:4" ht="36.75" customHeight="1">
      <c r="A949" s="435"/>
      <c r="B949" s="400" t="s">
        <v>4685</v>
      </c>
      <c r="C949" s="400">
        <v>4200</v>
      </c>
      <c r="D949" s="402" t="s">
        <v>1432</v>
      </c>
    </row>
    <row r="950" spans="1:4" ht="36.75" customHeight="1">
      <c r="A950" s="435"/>
      <c r="B950" s="400" t="s">
        <v>4683</v>
      </c>
      <c r="C950" s="400">
        <v>840</v>
      </c>
      <c r="D950" s="402" t="s">
        <v>1432</v>
      </c>
    </row>
    <row r="951" spans="1:4" ht="36.75" customHeight="1">
      <c r="A951" s="435"/>
      <c r="B951" s="400" t="s">
        <v>4682</v>
      </c>
      <c r="C951" s="400">
        <v>720</v>
      </c>
      <c r="D951" s="402" t="s">
        <v>1432</v>
      </c>
    </row>
    <row r="952" spans="1:4" ht="36.75" customHeight="1">
      <c r="A952" s="435"/>
      <c r="B952" s="400" t="s">
        <v>4684</v>
      </c>
      <c r="C952" s="400">
        <v>320</v>
      </c>
      <c r="D952" s="402" t="s">
        <v>1432</v>
      </c>
    </row>
    <row r="953" spans="1:4" ht="36.75" customHeight="1">
      <c r="A953" s="435"/>
      <c r="B953" s="400" t="s">
        <v>4713</v>
      </c>
      <c r="C953" s="400">
        <v>450</v>
      </c>
      <c r="D953" s="402" t="s">
        <v>1432</v>
      </c>
    </row>
    <row r="954" spans="1:4" ht="36.75" customHeight="1">
      <c r="A954" s="435"/>
      <c r="B954" s="407" t="s">
        <v>4727</v>
      </c>
      <c r="C954" s="400">
        <f>Elec.Data!R842</f>
        <v>0</v>
      </c>
      <c r="D954" s="402" t="s">
        <v>1398</v>
      </c>
    </row>
    <row r="955" spans="1:4" ht="36.75" customHeight="1">
      <c r="A955" s="435"/>
      <c r="B955" s="508" t="s">
        <v>4675</v>
      </c>
      <c r="C955" s="440"/>
      <c r="D955" s="402"/>
    </row>
    <row r="956" spans="1:4" ht="36.75" customHeight="1">
      <c r="A956" s="435"/>
      <c r="B956" s="440" t="s">
        <v>4933</v>
      </c>
      <c r="C956" s="440">
        <v>60.6</v>
      </c>
      <c r="D956" s="402" t="s">
        <v>826</v>
      </c>
    </row>
    <row r="957" spans="1:4" ht="36.75" customHeight="1">
      <c r="A957" s="435"/>
      <c r="B957" s="440" t="s">
        <v>4932</v>
      </c>
      <c r="C957" s="440">
        <v>73.900000000000006</v>
      </c>
      <c r="D957" s="455" t="s">
        <v>3550</v>
      </c>
    </row>
    <row r="958" spans="1:4" ht="36.75" customHeight="1">
      <c r="A958" s="435"/>
      <c r="B958" s="440" t="s">
        <v>4930</v>
      </c>
      <c r="C958" s="440">
        <v>8559.9500000000007</v>
      </c>
      <c r="D958" s="455" t="s">
        <v>1432</v>
      </c>
    </row>
    <row r="959" spans="1:4" ht="36.75" customHeight="1">
      <c r="A959" s="435"/>
      <c r="B959" s="400" t="s">
        <v>4929</v>
      </c>
      <c r="C959" s="400">
        <v>29800</v>
      </c>
      <c r="D959" s="402" t="s">
        <v>1394</v>
      </c>
    </row>
    <row r="960" spans="1:4" ht="36.75" customHeight="1">
      <c r="A960" s="435"/>
      <c r="B960" s="400" t="s">
        <v>4677</v>
      </c>
      <c r="C960" s="400">
        <v>45169</v>
      </c>
      <c r="D960" s="402" t="s">
        <v>1394</v>
      </c>
    </row>
    <row r="961" spans="1:4" ht="36.75" customHeight="1">
      <c r="A961" s="435"/>
      <c r="B961" s="400" t="s">
        <v>4931</v>
      </c>
      <c r="C961" s="400">
        <v>4711</v>
      </c>
      <c r="D961" s="402" t="s">
        <v>1394</v>
      </c>
    </row>
    <row r="962" spans="1:4" ht="36.75" customHeight="1">
      <c r="A962" s="435"/>
      <c r="B962" s="400" t="s">
        <v>4691</v>
      </c>
      <c r="C962" s="400">
        <v>13006</v>
      </c>
      <c r="D962" s="402" t="s">
        <v>1394</v>
      </c>
    </row>
    <row r="963" spans="1:4" ht="36.75" customHeight="1">
      <c r="A963" s="435"/>
      <c r="B963" s="400" t="s">
        <v>4681</v>
      </c>
      <c r="C963" s="400">
        <v>161</v>
      </c>
      <c r="D963" s="402" t="s">
        <v>826</v>
      </c>
    </row>
    <row r="964" spans="1:4" ht="36.75" customHeight="1">
      <c r="A964" s="435"/>
      <c r="B964" s="400" t="s">
        <v>4692</v>
      </c>
      <c r="C964" s="400">
        <v>4200</v>
      </c>
      <c r="D964" s="402" t="s">
        <v>1432</v>
      </c>
    </row>
    <row r="965" spans="1:4" ht="36.75" customHeight="1">
      <c r="A965" s="435"/>
      <c r="B965" s="400" t="s">
        <v>4693</v>
      </c>
      <c r="C965" s="400">
        <v>840</v>
      </c>
      <c r="D965" s="402" t="s">
        <v>1432</v>
      </c>
    </row>
    <row r="966" spans="1:4" ht="36.75" customHeight="1">
      <c r="A966" s="435"/>
      <c r="B966" s="400" t="s">
        <v>4694</v>
      </c>
      <c r="C966" s="400">
        <v>720</v>
      </c>
      <c r="D966" s="402" t="s">
        <v>1432</v>
      </c>
    </row>
    <row r="967" spans="1:4" ht="36.75" customHeight="1">
      <c r="A967" s="435"/>
      <c r="B967" s="400" t="s">
        <v>4695</v>
      </c>
      <c r="C967" s="400">
        <v>320</v>
      </c>
      <c r="D967" s="402" t="s">
        <v>1432</v>
      </c>
    </row>
    <row r="968" spans="1:4" ht="36.75" customHeight="1">
      <c r="A968" s="435"/>
      <c r="B968" s="400" t="s">
        <v>4696</v>
      </c>
      <c r="C968" s="400">
        <v>450</v>
      </c>
      <c r="D968" s="402" t="s">
        <v>1432</v>
      </c>
    </row>
    <row r="969" spans="1:4" ht="36.75" customHeight="1">
      <c r="A969" s="435"/>
      <c r="B969" s="414" t="s">
        <v>4686</v>
      </c>
      <c r="C969" s="400"/>
      <c r="D969" s="402"/>
    </row>
    <row r="970" spans="1:4" ht="36.75" customHeight="1">
      <c r="A970" s="435"/>
      <c r="B970" s="400" t="s">
        <v>4687</v>
      </c>
      <c r="C970" s="400">
        <v>213.71</v>
      </c>
      <c r="D970" s="402" t="s">
        <v>826</v>
      </c>
    </row>
    <row r="971" spans="1:4" ht="36.75" customHeight="1">
      <c r="A971" s="435"/>
      <c r="B971" s="400" t="s">
        <v>4688</v>
      </c>
      <c r="C971" s="400">
        <v>297.85000000000002</v>
      </c>
      <c r="D971" s="402" t="s">
        <v>826</v>
      </c>
    </row>
    <row r="972" spans="1:4" ht="36.75" customHeight="1">
      <c r="A972" s="435"/>
      <c r="B972" s="400" t="s">
        <v>4697</v>
      </c>
      <c r="C972" s="400">
        <v>27844</v>
      </c>
      <c r="D972" s="402" t="s">
        <v>1432</v>
      </c>
    </row>
    <row r="973" spans="1:4" ht="36.75" customHeight="1">
      <c r="A973" s="435"/>
      <c r="B973" s="400" t="s">
        <v>4698</v>
      </c>
      <c r="C973" s="400">
        <v>22198</v>
      </c>
      <c r="D973" s="402" t="s">
        <v>1432</v>
      </c>
    </row>
    <row r="974" spans="1:4" ht="36.75" customHeight="1">
      <c r="A974" s="435"/>
      <c r="B974" s="400" t="s">
        <v>4707</v>
      </c>
      <c r="C974" s="400">
        <v>5500</v>
      </c>
      <c r="D974" s="402" t="s">
        <v>1398</v>
      </c>
    </row>
    <row r="975" spans="1:4" ht="36.75" customHeight="1">
      <c r="A975" s="435"/>
      <c r="B975" s="400" t="s">
        <v>4689</v>
      </c>
      <c r="C975" s="400">
        <v>12650</v>
      </c>
      <c r="D975" s="402" t="s">
        <v>1398</v>
      </c>
    </row>
    <row r="976" spans="1:4" ht="36.75" customHeight="1">
      <c r="A976" s="435"/>
      <c r="B976" s="400" t="s">
        <v>4699</v>
      </c>
      <c r="C976" s="400">
        <v>161</v>
      </c>
      <c r="D976" s="402" t="s">
        <v>826</v>
      </c>
    </row>
    <row r="977" spans="1:4" ht="36.75" customHeight="1">
      <c r="A977" s="435"/>
      <c r="B977" s="414" t="s">
        <v>4700</v>
      </c>
      <c r="C977" s="400"/>
      <c r="D977" s="402"/>
    </row>
    <row r="978" spans="1:4" ht="36.75" customHeight="1">
      <c r="A978" s="435"/>
      <c r="B978" s="400" t="s">
        <v>4701</v>
      </c>
      <c r="C978" s="400">
        <v>1836</v>
      </c>
      <c r="D978" s="402" t="s">
        <v>1432</v>
      </c>
    </row>
    <row r="979" spans="1:4" ht="36.75" customHeight="1">
      <c r="A979" s="435"/>
      <c r="B979" s="400" t="s">
        <v>4702</v>
      </c>
      <c r="C979" s="400">
        <v>1217</v>
      </c>
      <c r="D979" s="402" t="s">
        <v>1432</v>
      </c>
    </row>
    <row r="980" spans="1:4" ht="36.75" customHeight="1">
      <c r="A980" s="435"/>
      <c r="B980" s="400" t="s">
        <v>4703</v>
      </c>
      <c r="C980" s="400">
        <v>266.3</v>
      </c>
      <c r="D980" s="402" t="s">
        <v>1432</v>
      </c>
    </row>
    <row r="981" spans="1:4" ht="36.75" customHeight="1">
      <c r="A981" s="435"/>
      <c r="B981" s="400" t="s">
        <v>4704</v>
      </c>
      <c r="C981" s="400">
        <v>209</v>
      </c>
      <c r="D981" s="402" t="s">
        <v>1432</v>
      </c>
    </row>
    <row r="982" spans="1:4" ht="36.75" customHeight="1">
      <c r="A982" s="435"/>
      <c r="B982" s="400" t="s">
        <v>4705</v>
      </c>
      <c r="C982" s="400">
        <v>116.3</v>
      </c>
      <c r="D982" s="402" t="s">
        <v>1432</v>
      </c>
    </row>
    <row r="983" spans="1:4" ht="36.75" customHeight="1">
      <c r="A983" s="435"/>
      <c r="B983" s="400" t="s">
        <v>4706</v>
      </c>
      <c r="C983" s="400">
        <v>69.8</v>
      </c>
      <c r="D983" s="402" t="s">
        <v>1432</v>
      </c>
    </row>
    <row r="984" spans="1:4" ht="36.75" customHeight="1">
      <c r="A984" s="536"/>
      <c r="B984" s="537"/>
      <c r="C984" s="537"/>
      <c r="D984" s="538"/>
    </row>
    <row r="985" spans="1:4" s="542" customFormat="1" ht="36.75" customHeight="1">
      <c r="A985" s="435"/>
      <c r="B985" s="539" t="s">
        <v>4965</v>
      </c>
      <c r="C985" s="540">
        <v>7945</v>
      </c>
      <c r="D985" s="541" t="s">
        <v>2283</v>
      </c>
    </row>
    <row r="986" spans="1:4" ht="36.75" customHeight="1">
      <c r="A986" s="435"/>
      <c r="B986" s="543" t="s">
        <v>4744</v>
      </c>
      <c r="C986" s="544"/>
      <c r="D986" s="545"/>
    </row>
    <row r="987" spans="1:4" ht="36.75" customHeight="1">
      <c r="A987" s="435"/>
      <c r="B987" s="546" t="s">
        <v>5088</v>
      </c>
      <c r="C987" s="547">
        <v>1821428.58</v>
      </c>
      <c r="D987" s="548" t="s">
        <v>1432</v>
      </c>
    </row>
    <row r="988" spans="1:4" ht="36.75" customHeight="1">
      <c r="A988" s="435"/>
      <c r="B988" s="546" t="s">
        <v>4966</v>
      </c>
      <c r="C988" s="547">
        <v>1739000</v>
      </c>
      <c r="D988" s="548" t="s">
        <v>1432</v>
      </c>
    </row>
    <row r="989" spans="1:4" ht="36.75" customHeight="1">
      <c r="A989" s="435"/>
      <c r="B989" s="543" t="s">
        <v>4745</v>
      </c>
      <c r="C989" s="544"/>
      <c r="D989" s="545"/>
    </row>
    <row r="990" spans="1:4" ht="36.75" customHeight="1">
      <c r="A990" s="435"/>
      <c r="B990" s="468" t="s">
        <v>4920</v>
      </c>
      <c r="C990" s="549">
        <v>216000</v>
      </c>
      <c r="D990" s="548" t="s">
        <v>1432</v>
      </c>
    </row>
    <row r="991" spans="1:4" ht="36.75" customHeight="1">
      <c r="A991" s="435"/>
      <c r="B991" s="468" t="s">
        <v>4921</v>
      </c>
      <c r="C991" s="549">
        <v>27000</v>
      </c>
      <c r="D991" s="548" t="s">
        <v>1432</v>
      </c>
    </row>
    <row r="992" spans="1:4" ht="36.75" customHeight="1">
      <c r="A992" s="435"/>
      <c r="B992" s="550" t="s">
        <v>4922</v>
      </c>
      <c r="C992" s="549"/>
      <c r="D992" s="548"/>
    </row>
    <row r="993" spans="1:4" ht="36.75" customHeight="1">
      <c r="A993" s="435"/>
      <c r="B993" s="551" t="s">
        <v>4746</v>
      </c>
      <c r="C993" s="549">
        <v>232</v>
      </c>
      <c r="D993" s="548" t="s">
        <v>826</v>
      </c>
    </row>
    <row r="994" spans="1:4" ht="36.75" customHeight="1">
      <c r="A994" s="435"/>
      <c r="B994" s="551" t="s">
        <v>4747</v>
      </c>
      <c r="C994" s="549">
        <v>160</v>
      </c>
      <c r="D994" s="548" t="s">
        <v>826</v>
      </c>
    </row>
    <row r="995" spans="1:4" ht="36.75" customHeight="1">
      <c r="A995" s="435"/>
      <c r="B995" s="551" t="s">
        <v>4748</v>
      </c>
      <c r="C995" s="549">
        <v>220</v>
      </c>
      <c r="D995" s="548" t="s">
        <v>826</v>
      </c>
    </row>
    <row r="996" spans="1:4" ht="36.75" customHeight="1">
      <c r="A996" s="435"/>
      <c r="B996" s="552" t="s">
        <v>4923</v>
      </c>
      <c r="C996" s="553"/>
      <c r="D996" s="554"/>
    </row>
    <row r="997" spans="1:4" ht="36.75" customHeight="1">
      <c r="A997" s="435"/>
      <c r="B997" s="555" t="s">
        <v>4749</v>
      </c>
      <c r="C997" s="553">
        <v>4400</v>
      </c>
      <c r="D997" s="556" t="s">
        <v>1432</v>
      </c>
    </row>
    <row r="998" spans="1:4" ht="36.75" customHeight="1">
      <c r="A998" s="435"/>
      <c r="B998" s="552" t="s">
        <v>4924</v>
      </c>
      <c r="C998" s="553"/>
      <c r="D998" s="556"/>
    </row>
    <row r="999" spans="1:4" ht="36.75" customHeight="1">
      <c r="A999" s="435"/>
      <c r="B999" s="551" t="s">
        <v>4750</v>
      </c>
      <c r="C999" s="553">
        <v>16000</v>
      </c>
      <c r="D999" s="556" t="s">
        <v>1432</v>
      </c>
    </row>
    <row r="1000" spans="1:4" ht="36.75" customHeight="1">
      <c r="A1000" s="435"/>
      <c r="B1000" s="550" t="s">
        <v>4925</v>
      </c>
      <c r="C1000" s="553"/>
      <c r="D1000" s="556"/>
    </row>
    <row r="1001" spans="1:4" ht="36.75" customHeight="1">
      <c r="A1001" s="435"/>
      <c r="B1001" s="551" t="s">
        <v>4751</v>
      </c>
      <c r="C1001" s="549">
        <v>2400</v>
      </c>
      <c r="D1001" s="557" t="s">
        <v>1432</v>
      </c>
    </row>
    <row r="1002" spans="1:4" ht="36.75" customHeight="1">
      <c r="A1002" s="435"/>
      <c r="B1002" s="551" t="s">
        <v>4752</v>
      </c>
      <c r="C1002" s="549">
        <v>4200</v>
      </c>
      <c r="D1002" s="557" t="s">
        <v>1432</v>
      </c>
    </row>
    <row r="1003" spans="1:4" ht="36.75" customHeight="1">
      <c r="A1003" s="435"/>
      <c r="B1003" s="551" t="s">
        <v>4753</v>
      </c>
      <c r="C1003" s="549">
        <v>5500</v>
      </c>
      <c r="D1003" s="557" t="s">
        <v>282</v>
      </c>
    </row>
    <row r="1004" spans="1:4" ht="36.75" customHeight="1">
      <c r="A1004" s="435"/>
      <c r="B1004" s="551" t="s">
        <v>4754</v>
      </c>
      <c r="C1004" s="549">
        <v>3000</v>
      </c>
      <c r="D1004" s="557" t="s">
        <v>282</v>
      </c>
    </row>
    <row r="1005" spans="1:4" ht="36.75" customHeight="1">
      <c r="A1005" s="435"/>
      <c r="B1005" s="558" t="s">
        <v>4755</v>
      </c>
      <c r="C1005" s="553"/>
      <c r="D1005" s="556"/>
    </row>
    <row r="1006" spans="1:4" ht="36.75" customHeight="1">
      <c r="A1006" s="435"/>
      <c r="B1006" s="550" t="s">
        <v>4926</v>
      </c>
      <c r="C1006" s="553"/>
      <c r="D1006" s="556"/>
    </row>
    <row r="1007" spans="1:4" ht="36.75" customHeight="1">
      <c r="A1007" s="435"/>
      <c r="B1007" s="551" t="s">
        <v>4750</v>
      </c>
      <c r="C1007" s="553">
        <v>1850</v>
      </c>
      <c r="D1007" s="556" t="s">
        <v>826</v>
      </c>
    </row>
    <row r="1008" spans="1:4" ht="36.75" customHeight="1">
      <c r="A1008" s="435"/>
      <c r="B1008" s="551" t="s">
        <v>4756</v>
      </c>
      <c r="C1008" s="549">
        <v>900</v>
      </c>
      <c r="D1008" s="557" t="s">
        <v>826</v>
      </c>
    </row>
    <row r="1009" spans="1:4" ht="36.75" customHeight="1">
      <c r="A1009" s="435"/>
      <c r="B1009" s="551" t="s">
        <v>6259</v>
      </c>
      <c r="C1009" s="549">
        <v>13500</v>
      </c>
      <c r="D1009" s="475" t="s">
        <v>1432</v>
      </c>
    </row>
    <row r="1010" spans="1:4" ht="36.75" customHeight="1">
      <c r="A1010" s="435"/>
      <c r="B1010" s="551" t="s">
        <v>4757</v>
      </c>
      <c r="C1010" s="549">
        <v>7000</v>
      </c>
      <c r="D1010" s="475" t="s">
        <v>1432</v>
      </c>
    </row>
    <row r="1011" spans="1:4" ht="36.75" customHeight="1">
      <c r="A1011" s="435"/>
      <c r="B1011" s="551" t="s">
        <v>4758</v>
      </c>
      <c r="C1011" s="549">
        <v>18000</v>
      </c>
      <c r="D1011" s="475" t="s">
        <v>1432</v>
      </c>
    </row>
    <row r="1012" spans="1:4" ht="36.75" customHeight="1">
      <c r="A1012" s="435"/>
      <c r="B1012" s="551" t="s">
        <v>6260</v>
      </c>
      <c r="C1012" s="549">
        <v>5200</v>
      </c>
      <c r="D1012" s="475" t="s">
        <v>1432</v>
      </c>
    </row>
    <row r="1013" spans="1:4" ht="36.75" customHeight="1">
      <c r="A1013" s="435"/>
      <c r="B1013" s="551" t="s">
        <v>4759</v>
      </c>
      <c r="C1013" s="549">
        <v>13000</v>
      </c>
      <c r="D1013" s="475" t="s">
        <v>1432</v>
      </c>
    </row>
    <row r="1014" spans="1:4" ht="36.75" customHeight="1">
      <c r="A1014" s="435"/>
      <c r="B1014" s="559" t="s">
        <v>4760</v>
      </c>
      <c r="C1014" s="553">
        <v>4500</v>
      </c>
      <c r="D1014" s="556" t="s">
        <v>1432</v>
      </c>
    </row>
    <row r="1015" spans="1:4" ht="36.75" customHeight="1">
      <c r="A1015" s="435"/>
      <c r="B1015" s="559" t="s">
        <v>4761</v>
      </c>
      <c r="C1015" s="553">
        <v>180</v>
      </c>
      <c r="D1015" s="556" t="s">
        <v>913</v>
      </c>
    </row>
    <row r="1016" spans="1:4" ht="36.75" customHeight="1">
      <c r="A1016" s="435"/>
      <c r="B1016" s="558" t="s">
        <v>4762</v>
      </c>
      <c r="C1016" s="553"/>
      <c r="D1016" s="544"/>
    </row>
    <row r="1017" spans="1:4" ht="36.75" customHeight="1">
      <c r="A1017" s="435"/>
      <c r="B1017" s="551" t="s">
        <v>4763</v>
      </c>
      <c r="C1017" s="549">
        <v>7500</v>
      </c>
      <c r="D1017" s="547" t="s">
        <v>1432</v>
      </c>
    </row>
    <row r="1018" spans="1:4" ht="36.75" customHeight="1">
      <c r="A1018" s="435"/>
      <c r="B1018" s="551" t="s">
        <v>4764</v>
      </c>
      <c r="C1018" s="549">
        <v>4500</v>
      </c>
      <c r="D1018" s="547" t="s">
        <v>1432</v>
      </c>
    </row>
    <row r="1019" spans="1:4" ht="36.75" customHeight="1">
      <c r="A1019" s="435"/>
      <c r="B1019" s="560" t="s">
        <v>4765</v>
      </c>
      <c r="C1019" s="553"/>
      <c r="D1019" s="544"/>
    </row>
    <row r="1020" spans="1:4" ht="36.75" customHeight="1">
      <c r="A1020" s="435"/>
      <c r="B1020" s="561" t="s">
        <v>6261</v>
      </c>
      <c r="C1020" s="549">
        <v>34000</v>
      </c>
      <c r="D1020" s="547" t="s">
        <v>1394</v>
      </c>
    </row>
    <row r="1021" spans="1:4" ht="36.75" customHeight="1">
      <c r="A1021" s="435"/>
      <c r="B1021" s="562" t="s">
        <v>4766</v>
      </c>
      <c r="C1021" s="549">
        <v>2600</v>
      </c>
      <c r="D1021" s="547" t="s">
        <v>1394</v>
      </c>
    </row>
    <row r="1022" spans="1:4" ht="36.75" customHeight="1">
      <c r="A1022" s="435"/>
      <c r="B1022" s="563" t="s">
        <v>4767</v>
      </c>
      <c r="C1022" s="549">
        <v>2200</v>
      </c>
      <c r="D1022" s="547" t="s">
        <v>1394</v>
      </c>
    </row>
    <row r="1023" spans="1:4" ht="36.75" customHeight="1">
      <c r="A1023" s="435"/>
      <c r="B1023" s="561" t="s">
        <v>4768</v>
      </c>
      <c r="C1023" s="549">
        <v>2100</v>
      </c>
      <c r="D1023" s="547" t="s">
        <v>1394</v>
      </c>
    </row>
    <row r="1024" spans="1:4" ht="36.75" customHeight="1">
      <c r="A1024" s="435"/>
      <c r="B1024" s="563" t="s">
        <v>4769</v>
      </c>
      <c r="C1024" s="549">
        <v>160</v>
      </c>
      <c r="D1024" s="547" t="s">
        <v>826</v>
      </c>
    </row>
    <row r="1025" spans="1:4" ht="36.75" customHeight="1">
      <c r="A1025" s="435"/>
      <c r="B1025" s="558" t="s">
        <v>5041</v>
      </c>
      <c r="C1025" s="553">
        <v>263207</v>
      </c>
      <c r="D1025" s="544" t="s">
        <v>282</v>
      </c>
    </row>
    <row r="1026" spans="1:4" ht="36.75" customHeight="1">
      <c r="A1026" s="435"/>
      <c r="B1026" s="560" t="s">
        <v>4770</v>
      </c>
      <c r="C1026" s="553"/>
      <c r="D1026" s="544"/>
    </row>
    <row r="1027" spans="1:4" ht="36.75" customHeight="1">
      <c r="A1027" s="435"/>
      <c r="B1027" s="564" t="s">
        <v>4771</v>
      </c>
      <c r="C1027" s="549">
        <v>28000</v>
      </c>
      <c r="D1027" s="547" t="s">
        <v>1394</v>
      </c>
    </row>
    <row r="1028" spans="1:4" ht="36.75" customHeight="1">
      <c r="A1028" s="435"/>
      <c r="B1028" s="564" t="s">
        <v>4772</v>
      </c>
      <c r="C1028" s="549">
        <v>2200</v>
      </c>
      <c r="D1028" s="547" t="s">
        <v>1394</v>
      </c>
    </row>
    <row r="1029" spans="1:4" ht="36.75" customHeight="1">
      <c r="A1029" s="435"/>
      <c r="B1029" s="564" t="s">
        <v>4769</v>
      </c>
      <c r="C1029" s="549">
        <v>160</v>
      </c>
      <c r="D1029" s="547" t="s">
        <v>4773</v>
      </c>
    </row>
    <row r="1030" spans="1:4" ht="36.75" customHeight="1">
      <c r="A1030" s="435"/>
      <c r="B1030" s="564" t="s">
        <v>4774</v>
      </c>
      <c r="C1030" s="549">
        <v>14000</v>
      </c>
      <c r="D1030" s="547" t="s">
        <v>1394</v>
      </c>
    </row>
    <row r="1031" spans="1:4" ht="36.75" customHeight="1">
      <c r="A1031" s="435"/>
      <c r="B1031" s="564" t="s">
        <v>4775</v>
      </c>
      <c r="C1031" s="549">
        <v>16000</v>
      </c>
      <c r="D1031" s="547" t="s">
        <v>1394</v>
      </c>
    </row>
    <row r="1032" spans="1:4" ht="36.75" customHeight="1">
      <c r="A1032" s="435"/>
      <c r="B1032" s="565" t="s">
        <v>4776</v>
      </c>
      <c r="C1032" s="553"/>
      <c r="D1032" s="544"/>
    </row>
    <row r="1033" spans="1:4" ht="36.75" customHeight="1">
      <c r="A1033" s="435"/>
      <c r="B1033" s="560" t="s">
        <v>4777</v>
      </c>
      <c r="C1033" s="553"/>
      <c r="D1033" s="544"/>
    </row>
    <row r="1034" spans="1:4" ht="36.75" customHeight="1">
      <c r="A1034" s="435"/>
      <c r="B1034" s="566" t="s">
        <v>4778</v>
      </c>
      <c r="C1034" s="553">
        <v>640</v>
      </c>
      <c r="D1034" s="554" t="s">
        <v>1394</v>
      </c>
    </row>
    <row r="1035" spans="1:4" ht="36.75" customHeight="1">
      <c r="A1035" s="435"/>
      <c r="B1035" s="567" t="s">
        <v>4779</v>
      </c>
      <c r="C1035" s="553">
        <v>10500</v>
      </c>
      <c r="D1035" s="545" t="s">
        <v>1432</v>
      </c>
    </row>
    <row r="1036" spans="1:4" ht="36.75" customHeight="1">
      <c r="A1036" s="435"/>
      <c r="B1036" s="567" t="s">
        <v>4780</v>
      </c>
      <c r="C1036" s="556">
        <v>4500</v>
      </c>
      <c r="D1036" s="553" t="s">
        <v>258</v>
      </c>
    </row>
    <row r="1037" spans="1:4" ht="36.75" customHeight="1">
      <c r="A1037" s="435"/>
      <c r="B1037" s="567" t="s">
        <v>4781</v>
      </c>
      <c r="C1037" s="553">
        <v>6500</v>
      </c>
      <c r="D1037" s="545" t="s">
        <v>1432</v>
      </c>
    </row>
    <row r="1038" spans="1:4" ht="36.75" customHeight="1">
      <c r="A1038" s="568"/>
      <c r="B1038" s="569" t="s">
        <v>4782</v>
      </c>
      <c r="C1038" s="570">
        <v>27000</v>
      </c>
      <c r="D1038" s="571" t="s">
        <v>1432</v>
      </c>
    </row>
    <row r="1039" spans="1:4" s="572" customFormat="1" ht="36.75" customHeight="1">
      <c r="A1039" s="435"/>
      <c r="B1039" s="567" t="s">
        <v>4783</v>
      </c>
      <c r="C1039" s="553">
        <v>22000</v>
      </c>
      <c r="D1039" s="545" t="s">
        <v>1432</v>
      </c>
    </row>
    <row r="1040" spans="1:4" ht="36.75" customHeight="1">
      <c r="A1040" s="435"/>
      <c r="B1040" s="567" t="s">
        <v>4784</v>
      </c>
      <c r="C1040" s="553">
        <v>4300</v>
      </c>
      <c r="D1040" s="545" t="s">
        <v>1432</v>
      </c>
    </row>
    <row r="1041" spans="1:4" ht="36.75" customHeight="1">
      <c r="A1041" s="435"/>
      <c r="B1041" s="567" t="s">
        <v>4785</v>
      </c>
      <c r="C1041" s="553">
        <v>5500</v>
      </c>
      <c r="D1041" s="545" t="s">
        <v>1432</v>
      </c>
    </row>
    <row r="1042" spans="1:4" ht="36.75" customHeight="1">
      <c r="A1042" s="435"/>
      <c r="B1042" s="468" t="s">
        <v>5104</v>
      </c>
      <c r="C1042" s="544">
        <v>10000</v>
      </c>
      <c r="D1042" s="545" t="s">
        <v>145</v>
      </c>
    </row>
    <row r="1043" spans="1:4" ht="36.75" customHeight="1">
      <c r="A1043" s="435"/>
      <c r="B1043" s="561" t="s">
        <v>5092</v>
      </c>
      <c r="C1043" s="553">
        <v>1280</v>
      </c>
      <c r="D1043" s="545" t="s">
        <v>233</v>
      </c>
    </row>
    <row r="1044" spans="1:4" ht="36.75" customHeight="1">
      <c r="A1044" s="435"/>
      <c r="B1044" s="561" t="s">
        <v>5093</v>
      </c>
      <c r="C1044" s="553">
        <v>1614.6</v>
      </c>
      <c r="D1044" s="545" t="s">
        <v>233</v>
      </c>
    </row>
    <row r="1045" spans="1:4" ht="36.75" customHeight="1">
      <c r="A1045" s="435"/>
      <c r="B1045" s="567" t="s">
        <v>4927</v>
      </c>
      <c r="C1045" s="553">
        <v>10050</v>
      </c>
      <c r="D1045" s="545" t="s">
        <v>1432</v>
      </c>
    </row>
    <row r="1046" spans="1:4" ht="36.75" customHeight="1">
      <c r="A1046" s="435"/>
      <c r="B1046" s="573" t="s">
        <v>4786</v>
      </c>
      <c r="C1046" s="553">
        <v>228000</v>
      </c>
      <c r="D1046" s="545" t="s">
        <v>1432</v>
      </c>
    </row>
    <row r="1047" spans="1:4" ht="36.75" customHeight="1">
      <c r="A1047" s="435"/>
      <c r="B1047" s="573" t="s">
        <v>4787</v>
      </c>
      <c r="C1047" s="553">
        <v>10450</v>
      </c>
      <c r="D1047" s="545" t="s">
        <v>1432</v>
      </c>
    </row>
    <row r="1048" spans="1:4" ht="36.75" customHeight="1">
      <c r="A1048" s="435"/>
      <c r="B1048" s="573" t="s">
        <v>4788</v>
      </c>
      <c r="C1048" s="553">
        <v>35000</v>
      </c>
      <c r="D1048" s="545" t="s">
        <v>1432</v>
      </c>
    </row>
    <row r="1049" spans="1:4" ht="36.75" customHeight="1">
      <c r="A1049" s="435"/>
      <c r="B1049" s="573" t="s">
        <v>4789</v>
      </c>
      <c r="C1049" s="553">
        <v>97000</v>
      </c>
      <c r="D1049" s="545" t="s">
        <v>1432</v>
      </c>
    </row>
    <row r="1050" spans="1:4" ht="36.75" customHeight="1">
      <c r="A1050" s="435"/>
      <c r="B1050" s="573" t="s">
        <v>4790</v>
      </c>
      <c r="C1050" s="553">
        <v>284</v>
      </c>
      <c r="D1050" s="545" t="s">
        <v>826</v>
      </c>
    </row>
    <row r="1051" spans="1:4" ht="36.75" customHeight="1">
      <c r="A1051" s="435"/>
      <c r="B1051" s="573" t="s">
        <v>4791</v>
      </c>
      <c r="C1051" s="553">
        <v>560</v>
      </c>
      <c r="D1051" s="545" t="s">
        <v>826</v>
      </c>
    </row>
    <row r="1052" spans="1:4" ht="36.75" customHeight="1">
      <c r="A1052" s="435"/>
      <c r="B1052" s="405" t="s">
        <v>4792</v>
      </c>
      <c r="C1052" s="553">
        <v>44000</v>
      </c>
      <c r="D1052" s="545" t="s">
        <v>1432</v>
      </c>
    </row>
    <row r="1053" spans="1:4" ht="36.75" customHeight="1">
      <c r="A1053" s="435"/>
      <c r="B1053" s="405" t="s">
        <v>4793</v>
      </c>
      <c r="C1053" s="553">
        <v>285000</v>
      </c>
      <c r="D1053" s="545" t="s">
        <v>4794</v>
      </c>
    </row>
    <row r="1054" spans="1:4" ht="36.75" customHeight="1">
      <c r="A1054" s="435"/>
      <c r="B1054" s="567" t="s">
        <v>4795</v>
      </c>
      <c r="C1054" s="553">
        <f>Elec.Data!J1921</f>
        <v>0</v>
      </c>
      <c r="D1054" s="554" t="s">
        <v>826</v>
      </c>
    </row>
    <row r="1055" spans="1:4" ht="36.75" customHeight="1">
      <c r="A1055" s="435"/>
      <c r="B1055" s="567" t="s">
        <v>4796</v>
      </c>
      <c r="C1055" s="553">
        <v>600</v>
      </c>
      <c r="D1055" s="554" t="s">
        <v>1432</v>
      </c>
    </row>
    <row r="1056" spans="1:4" ht="36.75" customHeight="1">
      <c r="A1056" s="435"/>
      <c r="B1056" s="561" t="s">
        <v>4955</v>
      </c>
      <c r="C1056" s="553"/>
      <c r="D1056" s="554"/>
    </row>
    <row r="1057" spans="1:4" ht="36.75" customHeight="1">
      <c r="A1057" s="435"/>
      <c r="B1057" s="561" t="s">
        <v>4797</v>
      </c>
      <c r="C1057" s="553">
        <v>640</v>
      </c>
      <c r="D1057" s="554" t="s">
        <v>2283</v>
      </c>
    </row>
    <row r="1058" spans="1:4" ht="36.75" customHeight="1">
      <c r="A1058" s="435"/>
      <c r="B1058" s="561" t="s">
        <v>4798</v>
      </c>
      <c r="C1058" s="553">
        <v>650</v>
      </c>
      <c r="D1058" s="554" t="s">
        <v>2283</v>
      </c>
    </row>
    <row r="1059" spans="1:4" ht="36.75" customHeight="1">
      <c r="A1059" s="435"/>
      <c r="B1059" s="567" t="s">
        <v>4799</v>
      </c>
      <c r="C1059" s="553"/>
      <c r="D1059" s="554"/>
    </row>
    <row r="1060" spans="1:4" ht="36.75" customHeight="1">
      <c r="A1060" s="435"/>
      <c r="B1060" s="567" t="s">
        <v>4800</v>
      </c>
      <c r="C1060" s="553">
        <f>[5]Elec.Data!Q3696</f>
        <v>0</v>
      </c>
      <c r="D1060" s="554" t="s">
        <v>826</v>
      </c>
    </row>
    <row r="1061" spans="1:4" ht="36.75" customHeight="1">
      <c r="A1061" s="435"/>
      <c r="B1061" s="574" t="s">
        <v>4801</v>
      </c>
      <c r="C1061" s="553"/>
      <c r="D1061" s="554"/>
    </row>
    <row r="1062" spans="1:4" ht="36.75" customHeight="1">
      <c r="A1062" s="435"/>
      <c r="B1062" s="468" t="s">
        <v>4999</v>
      </c>
      <c r="C1062" s="553"/>
      <c r="D1062" s="545"/>
    </row>
    <row r="1063" spans="1:4" ht="36.75" customHeight="1">
      <c r="A1063" s="435"/>
      <c r="B1063" s="412" t="s">
        <v>6262</v>
      </c>
      <c r="C1063" s="549">
        <v>551.04</v>
      </c>
      <c r="D1063" s="547" t="s">
        <v>3440</v>
      </c>
    </row>
    <row r="1064" spans="1:4" ht="36.75" customHeight="1">
      <c r="A1064" s="435"/>
      <c r="B1064" s="412" t="s">
        <v>6263</v>
      </c>
      <c r="C1064" s="553"/>
      <c r="D1064" s="545"/>
    </row>
    <row r="1065" spans="1:4" ht="36.75" customHeight="1">
      <c r="A1065" s="435"/>
      <c r="B1065" s="551" t="s">
        <v>4802</v>
      </c>
      <c r="C1065" s="553">
        <v>295</v>
      </c>
      <c r="D1065" s="554" t="s">
        <v>3440</v>
      </c>
    </row>
    <row r="1066" spans="1:4" ht="36.75" customHeight="1">
      <c r="A1066" s="435"/>
      <c r="B1066" s="551"/>
      <c r="C1066" s="553"/>
      <c r="D1066" s="554"/>
    </row>
    <row r="1067" spans="1:4" ht="36.75" customHeight="1">
      <c r="A1067" s="435"/>
      <c r="B1067" s="551" t="s">
        <v>4803</v>
      </c>
      <c r="C1067" s="549">
        <v>374.5</v>
      </c>
      <c r="D1067" s="547" t="s">
        <v>3440</v>
      </c>
    </row>
    <row r="1068" spans="1:4" ht="36.75" customHeight="1">
      <c r="A1068" s="435"/>
      <c r="B1068" s="551" t="s">
        <v>6264</v>
      </c>
      <c r="C1068" s="549">
        <v>825</v>
      </c>
      <c r="D1068" s="547" t="s">
        <v>3440</v>
      </c>
    </row>
    <row r="1069" spans="1:4" ht="36.75" customHeight="1">
      <c r="A1069" s="435"/>
      <c r="B1069" s="551" t="s">
        <v>6265</v>
      </c>
      <c r="C1069" s="549">
        <v>442</v>
      </c>
      <c r="D1069" s="547" t="s">
        <v>3440</v>
      </c>
    </row>
    <row r="1070" spans="1:4" ht="36.75" customHeight="1">
      <c r="A1070" s="435"/>
      <c r="B1070" s="551" t="s">
        <v>5000</v>
      </c>
      <c r="C1070" s="549">
        <v>722</v>
      </c>
      <c r="D1070" s="548" t="s">
        <v>3440</v>
      </c>
    </row>
    <row r="1071" spans="1:4" ht="36.75" customHeight="1">
      <c r="A1071" s="435"/>
      <c r="B1071" s="550" t="s">
        <v>5089</v>
      </c>
      <c r="C1071" s="553"/>
      <c r="D1071" s="545"/>
    </row>
    <row r="1072" spans="1:4" ht="36.75" customHeight="1">
      <c r="A1072" s="435"/>
      <c r="B1072" s="551" t="s">
        <v>4804</v>
      </c>
      <c r="C1072" s="553">
        <v>325.89999999999998</v>
      </c>
      <c r="D1072" s="545" t="s">
        <v>3440</v>
      </c>
    </row>
    <row r="1073" spans="1:4" ht="36.75" customHeight="1">
      <c r="A1073" s="435"/>
      <c r="B1073" s="551" t="s">
        <v>4805</v>
      </c>
      <c r="C1073" s="553">
        <v>336.25</v>
      </c>
      <c r="D1073" s="545" t="s">
        <v>3440</v>
      </c>
    </row>
    <row r="1074" spans="1:4" ht="36.75" customHeight="1">
      <c r="A1074" s="435"/>
      <c r="B1074" s="551" t="s">
        <v>4806</v>
      </c>
      <c r="C1074" s="553">
        <v>97</v>
      </c>
      <c r="D1074" s="545" t="s">
        <v>1432</v>
      </c>
    </row>
    <row r="1075" spans="1:4" ht="36.75" customHeight="1">
      <c r="A1075" s="435"/>
      <c r="B1075" s="551" t="s">
        <v>4807</v>
      </c>
      <c r="C1075" s="553">
        <v>1709.45</v>
      </c>
      <c r="D1075" s="545" t="s">
        <v>4674</v>
      </c>
    </row>
    <row r="1076" spans="1:4" ht="36.75" customHeight="1">
      <c r="A1076" s="435"/>
      <c r="B1076" s="550" t="s">
        <v>5026</v>
      </c>
      <c r="C1076" s="553"/>
      <c r="D1076" s="545"/>
    </row>
    <row r="1077" spans="1:4" ht="36.75" customHeight="1">
      <c r="A1077" s="435"/>
      <c r="B1077" s="551" t="s">
        <v>5027</v>
      </c>
      <c r="C1077" s="553">
        <v>274.68</v>
      </c>
      <c r="D1077" s="545" t="s">
        <v>5040</v>
      </c>
    </row>
    <row r="1078" spans="1:4" ht="36.75" customHeight="1">
      <c r="A1078" s="435"/>
      <c r="B1078" s="551" t="s">
        <v>5028</v>
      </c>
      <c r="C1078" s="553">
        <v>215</v>
      </c>
      <c r="D1078" s="545" t="s">
        <v>5040</v>
      </c>
    </row>
    <row r="1079" spans="1:4" ht="36.75" customHeight="1">
      <c r="A1079" s="435"/>
      <c r="B1079" s="551" t="s">
        <v>5029</v>
      </c>
      <c r="C1079" s="553">
        <v>199.01</v>
      </c>
      <c r="D1079" s="545" t="s">
        <v>5040</v>
      </c>
    </row>
    <row r="1080" spans="1:4" ht="36.75" customHeight="1">
      <c r="A1080" s="435"/>
      <c r="B1080" s="550" t="s">
        <v>5030</v>
      </c>
      <c r="C1080" s="553"/>
      <c r="D1080" s="545"/>
    </row>
    <row r="1081" spans="1:4" ht="36.75" customHeight="1">
      <c r="A1081" s="435"/>
      <c r="B1081" s="551" t="s">
        <v>5090</v>
      </c>
      <c r="C1081" s="553">
        <v>298.88</v>
      </c>
      <c r="D1081" s="545" t="s">
        <v>5040</v>
      </c>
    </row>
    <row r="1082" spans="1:4" ht="36.75" customHeight="1">
      <c r="A1082" s="435"/>
      <c r="B1082" s="550" t="s">
        <v>5031</v>
      </c>
      <c r="C1082" s="553"/>
      <c r="D1082" s="545"/>
    </row>
    <row r="1083" spans="1:4" ht="36.75" customHeight="1">
      <c r="A1083" s="435"/>
      <c r="B1083" s="551" t="s">
        <v>5032</v>
      </c>
      <c r="C1083" s="553">
        <v>206.85</v>
      </c>
      <c r="D1083" s="545" t="s">
        <v>1432</v>
      </c>
    </row>
    <row r="1084" spans="1:4" ht="36.75" customHeight="1">
      <c r="A1084" s="435"/>
      <c r="B1084" s="551" t="s">
        <v>5033</v>
      </c>
      <c r="C1084" s="553">
        <v>60.6</v>
      </c>
      <c r="D1084" s="545" t="s">
        <v>5040</v>
      </c>
    </row>
    <row r="1085" spans="1:4" ht="36.75" customHeight="1">
      <c r="A1085" s="435"/>
      <c r="B1085" s="551" t="s">
        <v>5034</v>
      </c>
      <c r="C1085" s="553">
        <v>34800</v>
      </c>
      <c r="D1085" s="545" t="s">
        <v>1714</v>
      </c>
    </row>
    <row r="1086" spans="1:4" ht="36.75" customHeight="1">
      <c r="A1086" s="435"/>
      <c r="B1086" s="551" t="s">
        <v>5091</v>
      </c>
      <c r="C1086" s="553">
        <v>30478</v>
      </c>
      <c r="D1086" s="545" t="s">
        <v>1714</v>
      </c>
    </row>
    <row r="1087" spans="1:4" ht="36.75" customHeight="1">
      <c r="A1087" s="435"/>
      <c r="B1087" s="551" t="s">
        <v>5035</v>
      </c>
      <c r="C1087" s="553">
        <v>9758.34</v>
      </c>
      <c r="D1087" s="545" t="s">
        <v>1714</v>
      </c>
    </row>
    <row r="1088" spans="1:4" ht="36.75" customHeight="1">
      <c r="A1088" s="435"/>
      <c r="B1088" s="551" t="s">
        <v>5036</v>
      </c>
      <c r="C1088" s="553">
        <v>166</v>
      </c>
      <c r="D1088" s="545" t="s">
        <v>5040</v>
      </c>
    </row>
    <row r="1089" spans="1:4" ht="36.75" customHeight="1">
      <c r="A1089" s="435"/>
      <c r="B1089" s="551" t="s">
        <v>5037</v>
      </c>
      <c r="C1089" s="553"/>
      <c r="D1089" s="545"/>
    </row>
    <row r="1090" spans="1:4" ht="36.75" customHeight="1">
      <c r="A1090" s="435"/>
      <c r="B1090" s="551" t="s">
        <v>5038</v>
      </c>
      <c r="C1090" s="553">
        <v>2001.17</v>
      </c>
      <c r="D1090" s="545" t="s">
        <v>1432</v>
      </c>
    </row>
    <row r="1091" spans="1:4" ht="36.75" customHeight="1">
      <c r="A1091" s="435"/>
      <c r="B1091" s="551" t="s">
        <v>5039</v>
      </c>
      <c r="C1091" s="553">
        <v>1982.37</v>
      </c>
      <c r="D1091" s="545" t="s">
        <v>1432</v>
      </c>
    </row>
    <row r="1092" spans="1:4" ht="36.75" customHeight="1">
      <c r="A1092" s="435"/>
      <c r="B1092" s="551" t="s">
        <v>5105</v>
      </c>
      <c r="C1092" s="553">
        <v>4947</v>
      </c>
      <c r="D1092" s="545" t="s">
        <v>1714</v>
      </c>
    </row>
    <row r="1093" spans="1:4" ht="36.75" customHeight="1">
      <c r="A1093" s="435"/>
      <c r="B1093" s="550" t="s">
        <v>4935</v>
      </c>
      <c r="C1093" s="553"/>
      <c r="D1093" s="545"/>
    </row>
    <row r="1094" spans="1:4" ht="36.75" customHeight="1">
      <c r="A1094" s="435"/>
      <c r="B1094" s="575" t="s">
        <v>4934</v>
      </c>
      <c r="C1094" s="576">
        <v>29800</v>
      </c>
      <c r="D1094" s="548" t="s">
        <v>1394</v>
      </c>
    </row>
    <row r="1095" spans="1:4" ht="36.75" customHeight="1">
      <c r="A1095" s="435"/>
      <c r="B1095" s="575" t="s">
        <v>6266</v>
      </c>
      <c r="C1095" s="576">
        <v>9758.34</v>
      </c>
      <c r="D1095" s="548" t="s">
        <v>1394</v>
      </c>
    </row>
    <row r="1096" spans="1:4" ht="36.75" customHeight="1">
      <c r="A1096" s="435"/>
      <c r="B1096" s="575" t="s">
        <v>5106</v>
      </c>
      <c r="C1096" s="549">
        <v>13283</v>
      </c>
      <c r="D1096" s="548" t="s">
        <v>1394</v>
      </c>
    </row>
    <row r="1097" spans="1:4" ht="36.75" customHeight="1">
      <c r="A1097" s="435"/>
      <c r="B1097" s="577" t="s">
        <v>5107</v>
      </c>
      <c r="C1097" s="549"/>
      <c r="D1097" s="548"/>
    </row>
    <row r="1098" spans="1:4" ht="36.75" customHeight="1">
      <c r="A1098" s="435"/>
      <c r="B1098" s="578" t="s">
        <v>5025</v>
      </c>
      <c r="C1098" s="549">
        <v>104.5</v>
      </c>
      <c r="D1098" s="548" t="s">
        <v>826</v>
      </c>
    </row>
    <row r="1099" spans="1:4" ht="36.75" customHeight="1">
      <c r="A1099" s="435"/>
      <c r="B1099" s="578" t="s">
        <v>4808</v>
      </c>
      <c r="C1099" s="549">
        <v>60.6</v>
      </c>
      <c r="D1099" s="548" t="s">
        <v>826</v>
      </c>
    </row>
    <row r="1100" spans="1:4" ht="36.75" customHeight="1">
      <c r="A1100" s="435"/>
      <c r="B1100" s="577" t="s">
        <v>5108</v>
      </c>
      <c r="C1100" s="549"/>
      <c r="D1100" s="548"/>
    </row>
    <row r="1101" spans="1:4" ht="36.75" customHeight="1">
      <c r="A1101" s="435"/>
      <c r="B1101" s="578" t="s">
        <v>4809</v>
      </c>
      <c r="C1101" s="576">
        <v>270</v>
      </c>
      <c r="D1101" s="548" t="s">
        <v>1432</v>
      </c>
    </row>
    <row r="1102" spans="1:4" ht="36.75" customHeight="1">
      <c r="A1102" s="435"/>
      <c r="B1102" s="578" t="s">
        <v>4810</v>
      </c>
      <c r="C1102" s="576">
        <v>230</v>
      </c>
      <c r="D1102" s="548" t="s">
        <v>1432</v>
      </c>
    </row>
    <row r="1103" spans="1:4" ht="36.75" customHeight="1">
      <c r="A1103" s="435"/>
      <c r="B1103" s="577" t="s">
        <v>4936</v>
      </c>
      <c r="C1103" s="549"/>
      <c r="D1103" s="548"/>
    </row>
    <row r="1104" spans="1:4" ht="36.75" customHeight="1">
      <c r="A1104" s="435"/>
      <c r="B1104" s="578" t="s">
        <v>4811</v>
      </c>
      <c r="C1104" s="576">
        <v>959</v>
      </c>
      <c r="D1104" s="548" t="s">
        <v>1432</v>
      </c>
    </row>
    <row r="1105" spans="1:4" ht="36.75" customHeight="1">
      <c r="A1105" s="435"/>
      <c r="B1105" s="578" t="s">
        <v>4812</v>
      </c>
      <c r="C1105" s="576">
        <v>582</v>
      </c>
      <c r="D1105" s="548" t="s">
        <v>1432</v>
      </c>
    </row>
    <row r="1106" spans="1:4" ht="36.75" customHeight="1">
      <c r="A1106" s="435"/>
      <c r="B1106" s="578" t="s">
        <v>5109</v>
      </c>
      <c r="C1106" s="576">
        <v>41</v>
      </c>
      <c r="D1106" s="548" t="s">
        <v>1432</v>
      </c>
    </row>
    <row r="1107" spans="1:4" ht="36.75" customHeight="1">
      <c r="A1107" s="435"/>
      <c r="B1107" s="579" t="s">
        <v>4937</v>
      </c>
      <c r="C1107" s="553"/>
      <c r="D1107" s="545"/>
    </row>
    <row r="1108" spans="1:4" ht="36.75" customHeight="1">
      <c r="A1108" s="435"/>
      <c r="B1108" s="575" t="s">
        <v>4813</v>
      </c>
      <c r="C1108" s="580">
        <v>2675</v>
      </c>
      <c r="D1108" s="545" t="s">
        <v>1432</v>
      </c>
    </row>
    <row r="1109" spans="1:4" ht="36.75" customHeight="1">
      <c r="A1109" s="435"/>
      <c r="B1109" s="575"/>
      <c r="C1109" s="580"/>
      <c r="D1109" s="545"/>
    </row>
    <row r="1110" spans="1:4" ht="36.75" customHeight="1">
      <c r="A1110" s="435"/>
      <c r="B1110" s="578" t="s">
        <v>4814</v>
      </c>
      <c r="C1110" s="576">
        <v>990</v>
      </c>
      <c r="D1110" s="548" t="s">
        <v>1432</v>
      </c>
    </row>
    <row r="1111" spans="1:4" ht="36.75" customHeight="1">
      <c r="A1111" s="435"/>
      <c r="B1111" s="578" t="s">
        <v>4938</v>
      </c>
      <c r="C1111" s="576">
        <v>360</v>
      </c>
      <c r="D1111" s="548" t="s">
        <v>1432</v>
      </c>
    </row>
    <row r="1112" spans="1:4" ht="36.75" customHeight="1">
      <c r="A1112" s="435"/>
      <c r="B1112" s="578" t="s">
        <v>4940</v>
      </c>
      <c r="C1112" s="576">
        <v>197</v>
      </c>
      <c r="D1112" s="548" t="s">
        <v>1432</v>
      </c>
    </row>
    <row r="1113" spans="1:4" ht="36.75" customHeight="1">
      <c r="A1113" s="435"/>
      <c r="B1113" s="578" t="s">
        <v>4939</v>
      </c>
      <c r="C1113" s="576">
        <v>29590</v>
      </c>
      <c r="D1113" s="548" t="s">
        <v>1432</v>
      </c>
    </row>
    <row r="1114" spans="1:4" ht="36.75" customHeight="1">
      <c r="A1114" s="435"/>
      <c r="B1114" s="573" t="s">
        <v>4815</v>
      </c>
      <c r="C1114" s="581">
        <v>8559.9500000000007</v>
      </c>
      <c r="D1114" s="545" t="s">
        <v>1432</v>
      </c>
    </row>
    <row r="1115" spans="1:4" ht="36.75" customHeight="1">
      <c r="A1115" s="435"/>
      <c r="B1115" s="578" t="s">
        <v>4941</v>
      </c>
      <c r="C1115" s="576">
        <v>13283</v>
      </c>
      <c r="D1115" s="548" t="s">
        <v>1432</v>
      </c>
    </row>
    <row r="1116" spans="1:4" ht="36.75" customHeight="1">
      <c r="A1116" s="435"/>
      <c r="B1116" s="575" t="s">
        <v>4942</v>
      </c>
      <c r="C1116" s="576">
        <v>166</v>
      </c>
      <c r="D1116" s="548" t="s">
        <v>826</v>
      </c>
    </row>
    <row r="1117" spans="1:4" ht="36.75" customHeight="1">
      <c r="A1117" s="435"/>
      <c r="B1117" s="582" t="s">
        <v>4816</v>
      </c>
      <c r="C1117" s="553"/>
      <c r="D1117" s="545"/>
    </row>
    <row r="1118" spans="1:4" ht="36.75" customHeight="1">
      <c r="A1118" s="435"/>
      <c r="B1118" s="578" t="s">
        <v>4817</v>
      </c>
      <c r="C1118" s="576">
        <v>155.41999999999999</v>
      </c>
      <c r="D1118" s="548" t="s">
        <v>826</v>
      </c>
    </row>
    <row r="1119" spans="1:4" ht="36.75" customHeight="1">
      <c r="A1119" s="435"/>
      <c r="B1119" s="578" t="s">
        <v>4818</v>
      </c>
      <c r="C1119" s="576">
        <v>239.92</v>
      </c>
      <c r="D1119" s="548" t="s">
        <v>826</v>
      </c>
    </row>
    <row r="1120" spans="1:4" ht="36.75" customHeight="1">
      <c r="A1120" s="435"/>
      <c r="B1120" s="578" t="s">
        <v>4819</v>
      </c>
      <c r="C1120" s="583">
        <v>2189.4</v>
      </c>
      <c r="D1120" s="548" t="s">
        <v>1432</v>
      </c>
    </row>
    <row r="1121" spans="1:4" ht="36.75" customHeight="1">
      <c r="A1121" s="435"/>
      <c r="B1121" s="578" t="s">
        <v>4820</v>
      </c>
      <c r="C1121" s="583">
        <v>1319.4</v>
      </c>
      <c r="D1121" s="548" t="s">
        <v>1432</v>
      </c>
    </row>
    <row r="1122" spans="1:4" ht="36.75" customHeight="1">
      <c r="A1122" s="435"/>
      <c r="B1122" s="578" t="s">
        <v>4821</v>
      </c>
      <c r="C1122" s="583">
        <v>769</v>
      </c>
      <c r="D1122" s="548" t="s">
        <v>1432</v>
      </c>
    </row>
    <row r="1123" spans="1:4" ht="36.75" customHeight="1">
      <c r="A1123" s="435"/>
      <c r="B1123" s="578" t="s">
        <v>4822</v>
      </c>
      <c r="C1123" s="549">
        <v>161.9</v>
      </c>
      <c r="D1123" s="548" t="s">
        <v>1432</v>
      </c>
    </row>
    <row r="1124" spans="1:4" ht="36.75" customHeight="1">
      <c r="A1124" s="435"/>
      <c r="B1124" s="578" t="s">
        <v>4969</v>
      </c>
      <c r="C1124" s="549"/>
      <c r="D1124" s="548"/>
    </row>
    <row r="1125" spans="1:4" ht="36.75" customHeight="1">
      <c r="A1125" s="435"/>
      <c r="B1125" s="584" t="s">
        <v>4970</v>
      </c>
      <c r="C1125" s="549"/>
      <c r="D1125" s="548"/>
    </row>
    <row r="1126" spans="1:4" ht="36.75" customHeight="1">
      <c r="A1126" s="435"/>
      <c r="B1126" s="578" t="s">
        <v>4971</v>
      </c>
      <c r="C1126" s="549">
        <v>312.45</v>
      </c>
      <c r="D1126" s="548" t="s">
        <v>826</v>
      </c>
    </row>
    <row r="1127" spans="1:4" ht="36.75" customHeight="1">
      <c r="A1127" s="435"/>
      <c r="B1127" s="578" t="s">
        <v>4972</v>
      </c>
      <c r="C1127" s="549">
        <v>343.1</v>
      </c>
      <c r="D1127" s="548" t="s">
        <v>826</v>
      </c>
    </row>
    <row r="1128" spans="1:4" ht="36.75" customHeight="1">
      <c r="A1128" s="435"/>
      <c r="B1128" s="578" t="s">
        <v>4973</v>
      </c>
      <c r="C1128" s="549">
        <v>345.77</v>
      </c>
      <c r="D1128" s="548" t="s">
        <v>826</v>
      </c>
    </row>
    <row r="1129" spans="1:4" ht="36.75" customHeight="1">
      <c r="A1129" s="435"/>
      <c r="B1129" s="578" t="s">
        <v>4823</v>
      </c>
      <c r="C1129" s="549">
        <v>750</v>
      </c>
      <c r="D1129" s="548" t="s">
        <v>4824</v>
      </c>
    </row>
    <row r="1130" spans="1:4" ht="36.75" customHeight="1">
      <c r="A1130" s="435"/>
      <c r="B1130" s="578" t="s">
        <v>5110</v>
      </c>
      <c r="C1130" s="549">
        <v>322.92</v>
      </c>
      <c r="D1130" s="548" t="s">
        <v>2283</v>
      </c>
    </row>
    <row r="1131" spans="1:4" ht="36.75" customHeight="1">
      <c r="A1131" s="435"/>
      <c r="B1131" s="578" t="s">
        <v>5111</v>
      </c>
      <c r="C1131" s="549" t="e">
        <f>#REF!</f>
        <v>#REF!</v>
      </c>
      <c r="D1131" s="548" t="s">
        <v>2283</v>
      </c>
    </row>
    <row r="1132" spans="1:4" ht="36.75" customHeight="1">
      <c r="A1132" s="435"/>
      <c r="B1132" s="579" t="s">
        <v>4949</v>
      </c>
      <c r="C1132" s="553"/>
      <c r="D1132" s="545"/>
    </row>
    <row r="1133" spans="1:4" ht="36.75" customHeight="1">
      <c r="A1133" s="435"/>
      <c r="B1133" s="578" t="s">
        <v>4959</v>
      </c>
      <c r="C1133" s="549">
        <f>609.5*6</f>
        <v>3657</v>
      </c>
      <c r="D1133" s="548" t="s">
        <v>2151</v>
      </c>
    </row>
    <row r="1134" spans="1:4" ht="36.75" customHeight="1">
      <c r="A1134" s="435"/>
      <c r="B1134" s="573" t="s">
        <v>4960</v>
      </c>
      <c r="C1134" s="553">
        <f>609.5*7</f>
        <v>4266.5</v>
      </c>
      <c r="D1134" s="545" t="s">
        <v>2151</v>
      </c>
    </row>
    <row r="1135" spans="1:4" ht="36.75" customHeight="1">
      <c r="A1135" s="435"/>
      <c r="B1135" s="573" t="s">
        <v>4826</v>
      </c>
      <c r="C1135" s="553">
        <v>1828.5</v>
      </c>
      <c r="D1135" s="545" t="s">
        <v>2151</v>
      </c>
    </row>
    <row r="1136" spans="1:4" ht="36.75" customHeight="1">
      <c r="A1136" s="435"/>
      <c r="B1136" s="573" t="s">
        <v>4827</v>
      </c>
      <c r="C1136" s="553">
        <v>2438</v>
      </c>
      <c r="D1136" s="545" t="s">
        <v>2151</v>
      </c>
    </row>
    <row r="1137" spans="1:4" ht="36.75" customHeight="1">
      <c r="A1137" s="435"/>
      <c r="B1137" s="579" t="s">
        <v>4950</v>
      </c>
      <c r="C1137" s="553"/>
      <c r="D1137" s="545"/>
    </row>
    <row r="1138" spans="1:4" ht="36.75" customHeight="1">
      <c r="A1138" s="435"/>
      <c r="B1138" s="575" t="s">
        <v>4961</v>
      </c>
      <c r="C1138" s="553">
        <f>87*5</f>
        <v>435</v>
      </c>
      <c r="D1138" s="545" t="s">
        <v>2151</v>
      </c>
    </row>
    <row r="1139" spans="1:4" ht="36.75" customHeight="1">
      <c r="A1139" s="435"/>
      <c r="B1139" s="573" t="s">
        <v>4825</v>
      </c>
      <c r="C1139" s="553">
        <v>174</v>
      </c>
      <c r="D1139" s="545" t="s">
        <v>2151</v>
      </c>
    </row>
    <row r="1140" spans="1:4" ht="36.75" customHeight="1">
      <c r="A1140" s="435"/>
      <c r="B1140" s="573" t="s">
        <v>4826</v>
      </c>
      <c r="C1140" s="553">
        <v>261</v>
      </c>
      <c r="D1140" s="545" t="s">
        <v>2151</v>
      </c>
    </row>
    <row r="1141" spans="1:4" ht="36.75" customHeight="1">
      <c r="A1141" s="435"/>
      <c r="B1141" s="573" t="s">
        <v>4827</v>
      </c>
      <c r="C1141" s="553">
        <v>348</v>
      </c>
      <c r="D1141" s="545" t="s">
        <v>2151</v>
      </c>
    </row>
    <row r="1142" spans="1:4" ht="36.75" customHeight="1">
      <c r="A1142" s="435"/>
      <c r="B1142" s="573" t="s">
        <v>4958</v>
      </c>
      <c r="C1142" s="553">
        <v>1878</v>
      </c>
      <c r="D1142" s="545" t="s">
        <v>1398</v>
      </c>
    </row>
    <row r="1143" spans="1:4" ht="36.75" customHeight="1">
      <c r="A1143" s="435"/>
      <c r="B1143" s="573" t="s">
        <v>318</v>
      </c>
      <c r="C1143" s="553"/>
      <c r="D1143" s="545" t="s">
        <v>826</v>
      </c>
    </row>
    <row r="1144" spans="1:4" ht="36.75" customHeight="1">
      <c r="A1144" s="435"/>
      <c r="B1144" s="575" t="s">
        <v>4828</v>
      </c>
      <c r="C1144" s="553">
        <v>30000</v>
      </c>
      <c r="D1144" s="545" t="s">
        <v>282</v>
      </c>
    </row>
    <row r="1145" spans="1:4" ht="36.75" customHeight="1">
      <c r="A1145" s="435"/>
      <c r="B1145" s="575" t="s">
        <v>4829</v>
      </c>
      <c r="C1145" s="553">
        <v>5500</v>
      </c>
      <c r="D1145" s="545" t="s">
        <v>282</v>
      </c>
    </row>
    <row r="1146" spans="1:4" ht="36.75" customHeight="1">
      <c r="A1146" s="435"/>
      <c r="B1146" s="575" t="s">
        <v>4830</v>
      </c>
      <c r="C1146" s="553">
        <v>6000</v>
      </c>
      <c r="D1146" s="545" t="s">
        <v>282</v>
      </c>
    </row>
    <row r="1147" spans="1:4" ht="36.75" customHeight="1">
      <c r="A1147" s="435"/>
      <c r="B1147" s="575" t="s">
        <v>4831</v>
      </c>
      <c r="C1147" s="553">
        <v>84000</v>
      </c>
      <c r="D1147" s="545" t="s">
        <v>282</v>
      </c>
    </row>
    <row r="1148" spans="1:4" ht="36.75" customHeight="1">
      <c r="A1148" s="435"/>
      <c r="B1148" s="575" t="s">
        <v>4832</v>
      </c>
      <c r="C1148" s="553">
        <v>185000</v>
      </c>
      <c r="D1148" s="545" t="s">
        <v>282</v>
      </c>
    </row>
    <row r="1149" spans="1:4" ht="36.75" customHeight="1">
      <c r="A1149" s="435"/>
      <c r="B1149" s="575" t="s">
        <v>4833</v>
      </c>
      <c r="C1149" s="553">
        <v>32000</v>
      </c>
      <c r="D1149" s="545" t="s">
        <v>145</v>
      </c>
    </row>
    <row r="1150" spans="1:4" ht="36.75" customHeight="1">
      <c r="A1150" s="435"/>
      <c r="B1150" s="575" t="s">
        <v>4834</v>
      </c>
      <c r="C1150" s="553">
        <v>400000</v>
      </c>
      <c r="D1150" s="545" t="s">
        <v>282</v>
      </c>
    </row>
    <row r="1151" spans="1:4" ht="36.75" customHeight="1">
      <c r="A1151" s="435"/>
      <c r="B1151" s="575" t="s">
        <v>4835</v>
      </c>
      <c r="C1151" s="553">
        <v>275000</v>
      </c>
      <c r="D1151" s="545" t="s">
        <v>145</v>
      </c>
    </row>
    <row r="1152" spans="1:4" ht="36.75" customHeight="1">
      <c r="A1152" s="435"/>
      <c r="B1152" s="575" t="s">
        <v>4836</v>
      </c>
      <c r="C1152" s="553">
        <v>350000</v>
      </c>
      <c r="D1152" s="545" t="s">
        <v>145</v>
      </c>
    </row>
    <row r="1153" spans="1:4" ht="36.75" customHeight="1">
      <c r="A1153" s="435"/>
      <c r="B1153" s="575" t="s">
        <v>4837</v>
      </c>
      <c r="C1153" s="553">
        <v>15000</v>
      </c>
      <c r="D1153" s="545" t="s">
        <v>145</v>
      </c>
    </row>
    <row r="1154" spans="1:4" ht="36.75" customHeight="1">
      <c r="A1154" s="435"/>
      <c r="B1154" s="575" t="s">
        <v>4838</v>
      </c>
      <c r="C1154" s="553">
        <v>28500</v>
      </c>
      <c r="D1154" s="545" t="s">
        <v>282</v>
      </c>
    </row>
    <row r="1155" spans="1:4" ht="36.75" customHeight="1">
      <c r="A1155" s="435"/>
      <c r="B1155" s="575" t="s">
        <v>4839</v>
      </c>
      <c r="C1155" s="553">
        <v>25000</v>
      </c>
      <c r="D1155" s="545" t="s">
        <v>282</v>
      </c>
    </row>
    <row r="1156" spans="1:4" ht="36.75" customHeight="1">
      <c r="A1156" s="435"/>
      <c r="B1156" s="575" t="s">
        <v>4840</v>
      </c>
      <c r="C1156" s="553">
        <v>250000</v>
      </c>
      <c r="D1156" s="545" t="s">
        <v>282</v>
      </c>
    </row>
    <row r="1157" spans="1:4" ht="36.75" customHeight="1">
      <c r="A1157" s="435"/>
      <c r="B1157" s="575" t="s">
        <v>4841</v>
      </c>
      <c r="C1157" s="553">
        <v>100000</v>
      </c>
      <c r="D1157" s="545" t="s">
        <v>282</v>
      </c>
    </row>
    <row r="1158" spans="1:4" ht="36.75" customHeight="1">
      <c r="A1158" s="435"/>
      <c r="B1158" s="575" t="s">
        <v>4842</v>
      </c>
      <c r="C1158" s="553">
        <v>15000</v>
      </c>
      <c r="D1158" s="545" t="s">
        <v>4843</v>
      </c>
    </row>
    <row r="1159" spans="1:4" ht="36.75" customHeight="1">
      <c r="A1159" s="435"/>
      <c r="B1159" s="575" t="s">
        <v>4844</v>
      </c>
      <c r="C1159" s="553">
        <v>200000</v>
      </c>
      <c r="D1159" s="545" t="s">
        <v>282</v>
      </c>
    </row>
    <row r="1160" spans="1:4" ht="36.75" customHeight="1">
      <c r="A1160" s="435"/>
      <c r="B1160" s="575" t="s">
        <v>4845</v>
      </c>
      <c r="C1160" s="553">
        <v>150000</v>
      </c>
      <c r="D1160" s="545" t="s">
        <v>282</v>
      </c>
    </row>
    <row r="1161" spans="1:4" ht="36.75" customHeight="1">
      <c r="A1161" s="435"/>
      <c r="B1161" s="575" t="s">
        <v>4846</v>
      </c>
      <c r="C1161" s="553">
        <v>150000</v>
      </c>
      <c r="D1161" s="545" t="s">
        <v>282</v>
      </c>
    </row>
    <row r="1162" spans="1:4" ht="36.75" customHeight="1">
      <c r="A1162" s="435"/>
      <c r="B1162" s="573" t="s">
        <v>4847</v>
      </c>
      <c r="C1162" s="553">
        <v>20.399999999999999</v>
      </c>
      <c r="D1162" s="545" t="s">
        <v>2151</v>
      </c>
    </row>
    <row r="1163" spans="1:4" ht="36.75" customHeight="1">
      <c r="A1163" s="435"/>
      <c r="B1163" s="585" t="s">
        <v>4848</v>
      </c>
      <c r="C1163" s="553"/>
      <c r="D1163" s="545"/>
    </row>
    <row r="1164" spans="1:4" ht="36.75" customHeight="1">
      <c r="A1164" s="435"/>
      <c r="B1164" s="551" t="s">
        <v>5112</v>
      </c>
      <c r="C1164" s="549">
        <v>7000</v>
      </c>
      <c r="D1164" s="548" t="s">
        <v>1432</v>
      </c>
    </row>
    <row r="1165" spans="1:4" ht="36.75" customHeight="1">
      <c r="A1165" s="435"/>
      <c r="B1165" s="551" t="s">
        <v>5113</v>
      </c>
      <c r="C1165" s="549">
        <v>840</v>
      </c>
      <c r="D1165" s="548" t="s">
        <v>1432</v>
      </c>
    </row>
    <row r="1166" spans="1:4" ht="36.75" customHeight="1">
      <c r="A1166" s="435"/>
      <c r="B1166" s="412" t="s">
        <v>5114</v>
      </c>
      <c r="C1166" s="549">
        <v>660</v>
      </c>
      <c r="D1166" s="548" t="s">
        <v>1432</v>
      </c>
    </row>
    <row r="1167" spans="1:4" ht="36.75" customHeight="1">
      <c r="A1167" s="435"/>
      <c r="B1167" s="412" t="s">
        <v>5116</v>
      </c>
      <c r="C1167" s="549">
        <v>450</v>
      </c>
      <c r="D1167" s="548" t="s">
        <v>1432</v>
      </c>
    </row>
    <row r="1168" spans="1:4" ht="36.75" customHeight="1">
      <c r="A1168" s="435"/>
      <c r="B1168" s="412" t="s">
        <v>5115</v>
      </c>
      <c r="C1168" s="549">
        <v>320</v>
      </c>
      <c r="D1168" s="548" t="s">
        <v>1432</v>
      </c>
    </row>
    <row r="1169" spans="1:4" ht="36.75" customHeight="1">
      <c r="A1169" s="435"/>
      <c r="B1169" s="585" t="s">
        <v>4849</v>
      </c>
      <c r="C1169" s="553"/>
      <c r="D1169" s="545"/>
    </row>
    <row r="1170" spans="1:4" ht="36.75" customHeight="1">
      <c r="A1170" s="435"/>
      <c r="B1170" s="586" t="s">
        <v>4956</v>
      </c>
      <c r="C1170" s="553"/>
      <c r="D1170" s="545"/>
    </row>
    <row r="1171" spans="1:4" ht="36.75" customHeight="1">
      <c r="A1171" s="435"/>
      <c r="B1171" s="561" t="s">
        <v>4850</v>
      </c>
      <c r="C1171" s="553">
        <v>1372</v>
      </c>
      <c r="D1171" s="545" t="s">
        <v>1432</v>
      </c>
    </row>
    <row r="1172" spans="1:4" ht="36.75" customHeight="1">
      <c r="A1172" s="435"/>
      <c r="B1172" s="566" t="s">
        <v>4851</v>
      </c>
      <c r="C1172" s="553"/>
      <c r="D1172" s="545"/>
    </row>
    <row r="1173" spans="1:4" ht="36.75" customHeight="1">
      <c r="A1173" s="435"/>
      <c r="B1173" s="567" t="s">
        <v>6267</v>
      </c>
      <c r="C1173" s="553">
        <v>2506</v>
      </c>
      <c r="D1173" s="545" t="s">
        <v>1432</v>
      </c>
    </row>
    <row r="1174" spans="1:4" ht="36.75" customHeight="1">
      <c r="A1174" s="435"/>
      <c r="B1174" s="587" t="s">
        <v>4852</v>
      </c>
      <c r="C1174" s="553"/>
      <c r="D1174" s="545"/>
    </row>
    <row r="1175" spans="1:4" ht="36.75" customHeight="1">
      <c r="A1175" s="435"/>
      <c r="B1175" s="588" t="s">
        <v>6268</v>
      </c>
      <c r="C1175" s="589">
        <v>1236</v>
      </c>
      <c r="D1175" s="590" t="s">
        <v>1432</v>
      </c>
    </row>
    <row r="1176" spans="1:4" ht="36.75" customHeight="1">
      <c r="A1176" s="435"/>
      <c r="B1176" s="591"/>
      <c r="C1176" s="592"/>
      <c r="D1176" s="593"/>
    </row>
    <row r="1177" spans="1:4" ht="36.75" customHeight="1">
      <c r="A1177" s="435"/>
      <c r="B1177" s="591" t="s">
        <v>6269</v>
      </c>
      <c r="C1177" s="474">
        <v>425</v>
      </c>
      <c r="D1177" s="590" t="s">
        <v>1398</v>
      </c>
    </row>
    <row r="1178" spans="1:4" ht="36.75" customHeight="1">
      <c r="A1178" s="435"/>
      <c r="B1178" s="587" t="s">
        <v>2141</v>
      </c>
      <c r="C1178" s="594"/>
      <c r="D1178" s="595"/>
    </row>
    <row r="1179" spans="1:4" ht="36.75" customHeight="1">
      <c r="A1179" s="435"/>
      <c r="B1179" s="588" t="s">
        <v>6270</v>
      </c>
      <c r="C1179" s="589">
        <v>641</v>
      </c>
      <c r="D1179" s="590" t="s">
        <v>1398</v>
      </c>
    </row>
    <row r="1180" spans="1:4" ht="36.75" customHeight="1">
      <c r="A1180" s="435"/>
      <c r="B1180" s="596" t="s">
        <v>6271</v>
      </c>
      <c r="C1180" s="589">
        <v>173</v>
      </c>
      <c r="D1180" s="597" t="s">
        <v>1398</v>
      </c>
    </row>
    <row r="1181" spans="1:4" ht="36.75" customHeight="1">
      <c r="A1181" s="435"/>
      <c r="B1181" s="588" t="s">
        <v>6272</v>
      </c>
      <c r="C1181" s="589">
        <v>1879</v>
      </c>
      <c r="D1181" s="597" t="s">
        <v>1398</v>
      </c>
    </row>
    <row r="1182" spans="1:4" ht="36.75" customHeight="1">
      <c r="A1182" s="435"/>
      <c r="B1182" s="587" t="s">
        <v>4853</v>
      </c>
      <c r="C1182" s="594"/>
      <c r="D1182" s="595"/>
    </row>
    <row r="1183" spans="1:4" ht="36.75" customHeight="1">
      <c r="A1183" s="435"/>
      <c r="B1183" s="598" t="s">
        <v>6273</v>
      </c>
      <c r="C1183" s="592">
        <v>174</v>
      </c>
      <c r="D1183" s="593" t="s">
        <v>4854</v>
      </c>
    </row>
    <row r="1184" spans="1:4" ht="36.75" customHeight="1">
      <c r="A1184" s="435"/>
      <c r="B1184" s="598" t="s">
        <v>6274</v>
      </c>
      <c r="C1184" s="592">
        <v>341</v>
      </c>
      <c r="D1184" s="593" t="s">
        <v>4854</v>
      </c>
    </row>
    <row r="1185" spans="1:4" ht="36.75" customHeight="1">
      <c r="A1185" s="435"/>
      <c r="B1185" s="598" t="s">
        <v>6275</v>
      </c>
      <c r="C1185" s="592">
        <v>462</v>
      </c>
      <c r="D1185" s="593" t="s">
        <v>4854</v>
      </c>
    </row>
    <row r="1186" spans="1:4" ht="36.75" customHeight="1">
      <c r="A1186" s="435"/>
      <c r="B1186" s="599" t="s">
        <v>4855</v>
      </c>
      <c r="C1186" s="589"/>
      <c r="D1186" s="590"/>
    </row>
    <row r="1187" spans="1:4" ht="36.75" customHeight="1">
      <c r="A1187" s="435"/>
      <c r="B1187" s="591" t="s">
        <v>6276</v>
      </c>
      <c r="C1187" s="600">
        <v>2588</v>
      </c>
      <c r="D1187" s="589" t="s">
        <v>1714</v>
      </c>
    </row>
    <row r="1188" spans="1:4" ht="36.75" customHeight="1">
      <c r="A1188" s="435"/>
      <c r="B1188" s="591" t="s">
        <v>6277</v>
      </c>
      <c r="C1188" s="601">
        <v>7846</v>
      </c>
      <c r="D1188" s="589" t="s">
        <v>1714</v>
      </c>
    </row>
    <row r="1189" spans="1:4" ht="36.75" customHeight="1">
      <c r="A1189" s="435"/>
      <c r="B1189" s="591" t="s">
        <v>6278</v>
      </c>
      <c r="C1189" s="474">
        <v>128.5</v>
      </c>
      <c r="D1189" s="597" t="s">
        <v>4854</v>
      </c>
    </row>
    <row r="1190" spans="1:4" ht="36.75" customHeight="1">
      <c r="A1190" s="435"/>
      <c r="B1190" s="591" t="s">
        <v>6279</v>
      </c>
      <c r="C1190" s="600">
        <v>380</v>
      </c>
      <c r="D1190" s="589" t="s">
        <v>1714</v>
      </c>
    </row>
    <row r="1191" spans="1:4" ht="36.75" customHeight="1">
      <c r="A1191" s="435"/>
      <c r="B1191" s="591" t="s">
        <v>4979</v>
      </c>
      <c r="C1191" s="600">
        <v>716</v>
      </c>
      <c r="D1191" s="589" t="s">
        <v>3440</v>
      </c>
    </row>
    <row r="1192" spans="1:4" ht="36.75" customHeight="1">
      <c r="A1192" s="435"/>
      <c r="B1192" s="587" t="s">
        <v>4856</v>
      </c>
      <c r="C1192" s="602"/>
      <c r="D1192" s="594"/>
    </row>
    <row r="1193" spans="1:4" ht="36.75" customHeight="1">
      <c r="A1193" s="435"/>
      <c r="B1193" s="591" t="s">
        <v>6280</v>
      </c>
      <c r="C1193" s="600">
        <v>1853</v>
      </c>
      <c r="D1193" s="589" t="s">
        <v>1714</v>
      </c>
    </row>
    <row r="1194" spans="1:4" ht="36.75" customHeight="1">
      <c r="A1194" s="435"/>
      <c r="B1194" s="412" t="s">
        <v>6281</v>
      </c>
      <c r="C1194" s="549">
        <v>635</v>
      </c>
      <c r="D1194" s="547" t="s">
        <v>1398</v>
      </c>
    </row>
    <row r="1195" spans="1:4" ht="36.75" customHeight="1">
      <c r="A1195" s="435"/>
      <c r="B1195" s="412" t="s">
        <v>5131</v>
      </c>
      <c r="C1195" s="549">
        <v>525</v>
      </c>
      <c r="D1195" s="547" t="s">
        <v>1398</v>
      </c>
    </row>
    <row r="1196" spans="1:4" ht="36.75" customHeight="1">
      <c r="A1196" s="435"/>
      <c r="B1196" s="412" t="s">
        <v>6282</v>
      </c>
      <c r="C1196" s="549">
        <v>1124</v>
      </c>
      <c r="D1196" s="547" t="s">
        <v>1398</v>
      </c>
    </row>
    <row r="1197" spans="1:4" ht="36.75" customHeight="1">
      <c r="A1197" s="435"/>
      <c r="B1197" s="412" t="s">
        <v>6283</v>
      </c>
      <c r="C1197" s="549">
        <v>2708</v>
      </c>
      <c r="D1197" s="547" t="s">
        <v>1398</v>
      </c>
    </row>
    <row r="1198" spans="1:4" ht="36.75" customHeight="1">
      <c r="A1198" s="435"/>
      <c r="B1198" s="412" t="s">
        <v>6284</v>
      </c>
      <c r="C1198" s="549">
        <v>354</v>
      </c>
      <c r="D1198" s="547" t="s">
        <v>1398</v>
      </c>
    </row>
    <row r="1199" spans="1:4" ht="36.75" customHeight="1">
      <c r="A1199" s="435"/>
      <c r="B1199" s="550" t="s">
        <v>4857</v>
      </c>
      <c r="C1199" s="553"/>
      <c r="D1199" s="544"/>
    </row>
    <row r="1200" spans="1:4" ht="36.75" customHeight="1">
      <c r="A1200" s="435"/>
      <c r="B1200" s="559" t="s">
        <v>6285</v>
      </c>
      <c r="C1200" s="553">
        <v>1919</v>
      </c>
      <c r="D1200" s="544" t="s">
        <v>1398</v>
      </c>
    </row>
    <row r="1201" spans="1:4" ht="36.75" customHeight="1">
      <c r="A1201" s="435"/>
      <c r="B1201" s="412" t="s">
        <v>6286</v>
      </c>
      <c r="C1201" s="549">
        <v>1956</v>
      </c>
      <c r="D1201" s="547" t="s">
        <v>1398</v>
      </c>
    </row>
    <row r="1202" spans="1:4" ht="36.75" customHeight="1">
      <c r="A1202" s="435"/>
      <c r="B1202" s="550" t="s">
        <v>4858</v>
      </c>
      <c r="C1202" s="553"/>
      <c r="D1202" s="544"/>
    </row>
    <row r="1203" spans="1:4" ht="36.75" customHeight="1">
      <c r="A1203" s="435"/>
      <c r="B1203" s="486" t="s">
        <v>4859</v>
      </c>
      <c r="C1203" s="549"/>
      <c r="D1203" s="547"/>
    </row>
    <row r="1204" spans="1:4" ht="36.75" customHeight="1">
      <c r="A1204" s="435"/>
      <c r="B1204" s="412" t="s">
        <v>5132</v>
      </c>
      <c r="C1204" s="549">
        <v>459</v>
      </c>
      <c r="D1204" s="547" t="s">
        <v>4201</v>
      </c>
    </row>
    <row r="1205" spans="1:4" ht="36.75" customHeight="1">
      <c r="A1205" s="435"/>
      <c r="B1205" s="412" t="s">
        <v>5133</v>
      </c>
      <c r="C1205" s="549">
        <v>532</v>
      </c>
      <c r="D1205" s="547" t="s">
        <v>4201</v>
      </c>
    </row>
    <row r="1206" spans="1:4" ht="36.75" customHeight="1">
      <c r="A1206" s="435"/>
      <c r="B1206" s="550" t="s">
        <v>4860</v>
      </c>
      <c r="C1206" s="553"/>
      <c r="D1206" s="544"/>
    </row>
    <row r="1207" spans="1:4" ht="36.75" customHeight="1">
      <c r="A1207" s="435"/>
      <c r="B1207" s="603" t="s">
        <v>5001</v>
      </c>
      <c r="C1207" s="549">
        <v>898</v>
      </c>
      <c r="D1207" s="547" t="s">
        <v>826</v>
      </c>
    </row>
    <row r="1208" spans="1:4" ht="36.75" customHeight="1">
      <c r="A1208" s="435"/>
      <c r="B1208" s="412" t="s">
        <v>4861</v>
      </c>
      <c r="C1208" s="549"/>
      <c r="D1208" s="547"/>
    </row>
    <row r="1209" spans="1:4" ht="36.75" customHeight="1">
      <c r="A1209" s="435"/>
      <c r="B1209" s="412" t="s">
        <v>4862</v>
      </c>
      <c r="C1209" s="549"/>
      <c r="D1209" s="547"/>
    </row>
    <row r="1210" spans="1:4" ht="36.75" customHeight="1">
      <c r="A1210" s="435"/>
      <c r="B1210" s="412" t="s">
        <v>5002</v>
      </c>
      <c r="C1210" s="549">
        <v>557</v>
      </c>
      <c r="D1210" s="547" t="s">
        <v>826</v>
      </c>
    </row>
    <row r="1211" spans="1:4" ht="36.75" customHeight="1">
      <c r="A1211" s="435"/>
      <c r="B1211" s="412" t="s">
        <v>5156</v>
      </c>
      <c r="C1211" s="549">
        <v>367</v>
      </c>
      <c r="D1211" s="547" t="s">
        <v>826</v>
      </c>
    </row>
    <row r="1212" spans="1:4" ht="36.75" customHeight="1">
      <c r="A1212" s="435"/>
      <c r="B1212" s="412" t="s">
        <v>5157</v>
      </c>
      <c r="C1212" s="549">
        <v>301</v>
      </c>
      <c r="D1212" s="547" t="s">
        <v>826</v>
      </c>
    </row>
    <row r="1213" spans="1:4" ht="36.75" customHeight="1">
      <c r="A1213" s="435"/>
      <c r="B1213" s="412" t="s">
        <v>5003</v>
      </c>
      <c r="C1213" s="549">
        <v>261</v>
      </c>
      <c r="D1213" s="547" t="s">
        <v>826</v>
      </c>
    </row>
    <row r="1214" spans="1:4" ht="36.75" customHeight="1">
      <c r="A1214" s="435"/>
      <c r="B1214" s="550" t="s">
        <v>4863</v>
      </c>
      <c r="C1214" s="553"/>
      <c r="D1214" s="544"/>
    </row>
    <row r="1215" spans="1:4" ht="36.75" customHeight="1">
      <c r="A1215" s="435"/>
      <c r="B1215" s="412" t="s">
        <v>5004</v>
      </c>
      <c r="C1215" s="604">
        <v>504</v>
      </c>
      <c r="D1215" s="547" t="s">
        <v>1714</v>
      </c>
    </row>
    <row r="1216" spans="1:4" ht="36.75" customHeight="1">
      <c r="A1216" s="435"/>
      <c r="B1216" s="412" t="s">
        <v>5005</v>
      </c>
      <c r="C1216" s="604">
        <v>463</v>
      </c>
      <c r="D1216" s="547" t="s">
        <v>1714</v>
      </c>
    </row>
    <row r="1217" spans="1:4" ht="36.75" customHeight="1">
      <c r="A1217" s="435"/>
      <c r="B1217" s="412" t="s">
        <v>5006</v>
      </c>
      <c r="C1217" s="549">
        <v>340</v>
      </c>
      <c r="D1217" s="547" t="s">
        <v>1714</v>
      </c>
    </row>
    <row r="1218" spans="1:4" ht="36.75" customHeight="1">
      <c r="A1218" s="435"/>
      <c r="B1218" s="412" t="s">
        <v>5007</v>
      </c>
      <c r="C1218" s="549">
        <v>327</v>
      </c>
      <c r="D1218" s="547" t="s">
        <v>1714</v>
      </c>
    </row>
    <row r="1219" spans="1:4" ht="36.75" customHeight="1">
      <c r="A1219" s="435"/>
      <c r="B1219" s="412" t="s">
        <v>5008</v>
      </c>
      <c r="C1219" s="549">
        <v>319</v>
      </c>
      <c r="D1219" s="547" t="s">
        <v>1714</v>
      </c>
    </row>
    <row r="1220" spans="1:4" ht="36.75" customHeight="1">
      <c r="A1220" s="435"/>
      <c r="B1220" s="550" t="s">
        <v>4864</v>
      </c>
      <c r="C1220" s="553"/>
      <c r="D1220" s="544"/>
    </row>
    <row r="1221" spans="1:4" ht="36.75" customHeight="1">
      <c r="A1221" s="435"/>
      <c r="B1221" s="412" t="s">
        <v>5009</v>
      </c>
      <c r="C1221" s="549">
        <v>442</v>
      </c>
      <c r="D1221" s="547" t="s">
        <v>1714</v>
      </c>
    </row>
    <row r="1222" spans="1:4" ht="36.75" customHeight="1">
      <c r="A1222" s="435"/>
      <c r="B1222" s="412" t="s">
        <v>5010</v>
      </c>
      <c r="C1222" s="549">
        <v>293</v>
      </c>
      <c r="D1222" s="547" t="s">
        <v>1714</v>
      </c>
    </row>
    <row r="1223" spans="1:4" ht="36.75" customHeight="1">
      <c r="A1223" s="435"/>
      <c r="B1223" s="412" t="s">
        <v>5011</v>
      </c>
      <c r="C1223" s="549">
        <v>277</v>
      </c>
      <c r="D1223" s="547" t="s">
        <v>1714</v>
      </c>
    </row>
    <row r="1224" spans="1:4" ht="36.75" customHeight="1">
      <c r="A1224" s="435"/>
      <c r="B1224" s="412" t="s">
        <v>5012</v>
      </c>
      <c r="C1224" s="549">
        <v>274</v>
      </c>
      <c r="D1224" s="547" t="s">
        <v>1714</v>
      </c>
    </row>
    <row r="1225" spans="1:4" ht="36.75" customHeight="1">
      <c r="A1225" s="435"/>
      <c r="B1225" s="412" t="s">
        <v>5013</v>
      </c>
      <c r="C1225" s="549">
        <v>274</v>
      </c>
      <c r="D1225" s="547" t="s">
        <v>1714</v>
      </c>
    </row>
    <row r="1226" spans="1:4" ht="36.75" customHeight="1">
      <c r="A1226" s="435"/>
      <c r="B1226" s="605" t="s">
        <v>4865</v>
      </c>
      <c r="C1226" s="553"/>
      <c r="D1226" s="544"/>
    </row>
    <row r="1227" spans="1:4" ht="36.75" customHeight="1">
      <c r="A1227" s="435"/>
      <c r="B1227" s="412" t="s">
        <v>4974</v>
      </c>
      <c r="C1227" s="549">
        <v>15777</v>
      </c>
      <c r="D1227" s="547" t="s">
        <v>1714</v>
      </c>
    </row>
    <row r="1228" spans="1:4" ht="36.75" customHeight="1">
      <c r="A1228" s="435"/>
      <c r="B1228" s="412" t="s">
        <v>6287</v>
      </c>
      <c r="C1228" s="549">
        <v>17231</v>
      </c>
      <c r="D1228" s="547" t="s">
        <v>1714</v>
      </c>
    </row>
    <row r="1229" spans="1:4" ht="36.75" customHeight="1">
      <c r="A1229" s="435"/>
      <c r="B1229" s="605" t="s">
        <v>4866</v>
      </c>
      <c r="C1229" s="553"/>
      <c r="D1229" s="544"/>
    </row>
    <row r="1230" spans="1:4" ht="36.75" customHeight="1">
      <c r="A1230" s="435"/>
      <c r="B1230" s="412" t="s">
        <v>6288</v>
      </c>
      <c r="C1230" s="549">
        <v>1340</v>
      </c>
      <c r="D1230" s="547" t="s">
        <v>1714</v>
      </c>
    </row>
    <row r="1231" spans="1:4" ht="36.75" customHeight="1">
      <c r="A1231" s="435"/>
      <c r="B1231" s="412" t="s">
        <v>6289</v>
      </c>
      <c r="C1231" s="549">
        <v>549</v>
      </c>
      <c r="D1231" s="547" t="s">
        <v>1714</v>
      </c>
    </row>
    <row r="1232" spans="1:4" ht="36.75" customHeight="1">
      <c r="A1232" s="435"/>
      <c r="B1232" s="412" t="s">
        <v>6290</v>
      </c>
      <c r="C1232" s="549">
        <v>380</v>
      </c>
      <c r="D1232" s="547" t="s">
        <v>3440</v>
      </c>
    </row>
    <row r="1233" spans="1:4" ht="36.75" customHeight="1">
      <c r="A1233" s="435"/>
      <c r="B1233" s="550" t="s">
        <v>4867</v>
      </c>
      <c r="C1233" s="553"/>
      <c r="D1233" s="544"/>
    </row>
    <row r="1234" spans="1:4" ht="36.75" customHeight="1">
      <c r="A1234" s="435"/>
      <c r="B1234" s="551" t="s">
        <v>4868</v>
      </c>
      <c r="C1234" s="553"/>
      <c r="D1234" s="544"/>
    </row>
    <row r="1235" spans="1:4" ht="36.75" customHeight="1">
      <c r="A1235" s="435"/>
      <c r="B1235" s="412" t="s">
        <v>6291</v>
      </c>
      <c r="C1235" s="549">
        <v>1328</v>
      </c>
      <c r="D1235" s="547" t="s">
        <v>1398</v>
      </c>
    </row>
    <row r="1236" spans="1:4" ht="36.75" customHeight="1">
      <c r="A1236" s="435"/>
      <c r="B1236" s="412" t="s">
        <v>6292</v>
      </c>
      <c r="C1236" s="549">
        <v>950</v>
      </c>
      <c r="D1236" s="547" t="s">
        <v>1398</v>
      </c>
    </row>
    <row r="1237" spans="1:4" ht="36.75" customHeight="1">
      <c r="A1237" s="435"/>
      <c r="B1237" s="412" t="s">
        <v>6293</v>
      </c>
      <c r="C1237" s="549">
        <v>1805</v>
      </c>
      <c r="D1237" s="547" t="s">
        <v>1398</v>
      </c>
    </row>
    <row r="1238" spans="1:4" ht="36.75" customHeight="1">
      <c r="A1238" s="435"/>
      <c r="B1238" s="605" t="s">
        <v>4869</v>
      </c>
      <c r="C1238" s="553"/>
      <c r="D1238" s="544"/>
    </row>
    <row r="1239" spans="1:4" ht="36.75" customHeight="1">
      <c r="A1239" s="435"/>
      <c r="B1239" s="551" t="s">
        <v>6294</v>
      </c>
      <c r="C1239" s="553">
        <v>30250</v>
      </c>
      <c r="D1239" s="544" t="s">
        <v>1398</v>
      </c>
    </row>
    <row r="1240" spans="1:4" ht="36.75" customHeight="1">
      <c r="A1240" s="435"/>
      <c r="B1240" s="551" t="s">
        <v>6295</v>
      </c>
      <c r="C1240" s="553">
        <v>141</v>
      </c>
      <c r="D1240" s="544" t="s">
        <v>4202</v>
      </c>
    </row>
    <row r="1241" spans="1:4" ht="36.75" customHeight="1">
      <c r="A1241" s="435"/>
      <c r="B1241" s="550" t="s">
        <v>4870</v>
      </c>
      <c r="C1241" s="553"/>
      <c r="D1241" s="544"/>
    </row>
    <row r="1242" spans="1:4" ht="36.75" customHeight="1">
      <c r="A1242" s="435"/>
      <c r="B1242" s="559" t="s">
        <v>6296</v>
      </c>
      <c r="C1242" s="553">
        <v>6161</v>
      </c>
      <c r="D1242" s="544" t="s">
        <v>1714</v>
      </c>
    </row>
    <row r="1243" spans="1:4" ht="36.75" customHeight="1">
      <c r="A1243" s="435"/>
      <c r="B1243" s="606" t="s">
        <v>4871</v>
      </c>
      <c r="C1243" s="553"/>
      <c r="D1243" s="544"/>
    </row>
    <row r="1244" spans="1:4" ht="36.75" customHeight="1">
      <c r="A1244" s="435"/>
      <c r="B1244" s="551" t="s">
        <v>5015</v>
      </c>
      <c r="C1244" s="553"/>
      <c r="D1244" s="544"/>
    </row>
    <row r="1245" spans="1:4" ht="36.75" customHeight="1">
      <c r="A1245" s="435"/>
      <c r="B1245" s="559" t="s">
        <v>5016</v>
      </c>
      <c r="C1245" s="553"/>
      <c r="D1245" s="544"/>
    </row>
    <row r="1246" spans="1:4" ht="36.75" customHeight="1">
      <c r="A1246" s="435"/>
      <c r="B1246" s="486" t="s">
        <v>5017</v>
      </c>
      <c r="C1246" s="549">
        <v>55127</v>
      </c>
      <c r="D1246" s="547"/>
    </row>
    <row r="1247" spans="1:4" ht="36.75" customHeight="1">
      <c r="A1247" s="435"/>
      <c r="B1247" s="559" t="s">
        <v>5018</v>
      </c>
      <c r="C1247" s="553"/>
      <c r="D1247" s="544"/>
    </row>
    <row r="1248" spans="1:4" ht="36.75" customHeight="1">
      <c r="A1248" s="435"/>
      <c r="B1248" s="551" t="s">
        <v>5019</v>
      </c>
      <c r="C1248" s="553"/>
      <c r="D1248" s="544"/>
    </row>
    <row r="1249" spans="1:4" ht="36.75" customHeight="1">
      <c r="A1249" s="435"/>
      <c r="B1249" s="486" t="s">
        <v>5020</v>
      </c>
      <c r="C1249" s="549">
        <v>165743</v>
      </c>
      <c r="D1249" s="547" t="s">
        <v>1398</v>
      </c>
    </row>
    <row r="1250" spans="1:4" ht="36.75" customHeight="1">
      <c r="A1250" s="435"/>
      <c r="B1250" s="551" t="s">
        <v>4872</v>
      </c>
      <c r="C1250" s="553"/>
      <c r="D1250" s="544"/>
    </row>
    <row r="1251" spans="1:4" ht="36.75" customHeight="1">
      <c r="A1251" s="435"/>
      <c r="B1251" s="551" t="s">
        <v>4873</v>
      </c>
      <c r="C1251" s="553"/>
      <c r="D1251" s="544"/>
    </row>
    <row r="1252" spans="1:4" ht="36.75" customHeight="1">
      <c r="A1252" s="435"/>
      <c r="B1252" s="486" t="s">
        <v>6297</v>
      </c>
      <c r="C1252" s="549">
        <v>241785</v>
      </c>
      <c r="D1252" s="547" t="s">
        <v>1432</v>
      </c>
    </row>
    <row r="1253" spans="1:4" ht="36.75" customHeight="1">
      <c r="A1253" s="435"/>
      <c r="B1253" s="486" t="s">
        <v>5117</v>
      </c>
      <c r="C1253" s="549">
        <v>348</v>
      </c>
      <c r="D1253" s="547" t="s">
        <v>1432</v>
      </c>
    </row>
    <row r="1254" spans="1:4" ht="36.75" customHeight="1">
      <c r="A1254" s="435"/>
      <c r="B1254" s="486" t="s">
        <v>4975</v>
      </c>
      <c r="C1254" s="549">
        <v>38</v>
      </c>
      <c r="D1254" s="547" t="s">
        <v>826</v>
      </c>
    </row>
    <row r="1255" spans="1:4" ht="36.75" customHeight="1">
      <c r="A1255" s="435"/>
      <c r="B1255" s="412" t="s">
        <v>6298</v>
      </c>
      <c r="C1255" s="549">
        <v>30000</v>
      </c>
      <c r="D1255" s="547" t="s">
        <v>1714</v>
      </c>
    </row>
    <row r="1256" spans="1:4" ht="36.75" customHeight="1">
      <c r="A1256" s="435"/>
      <c r="B1256" s="412" t="s">
        <v>4874</v>
      </c>
      <c r="C1256" s="549">
        <v>500000</v>
      </c>
      <c r="D1256" s="547" t="s">
        <v>449</v>
      </c>
    </row>
    <row r="1257" spans="1:4" ht="36.75" customHeight="1">
      <c r="A1257" s="435"/>
      <c r="B1257" s="550" t="s">
        <v>4875</v>
      </c>
      <c r="C1257" s="553"/>
      <c r="D1257" s="544"/>
    </row>
    <row r="1258" spans="1:4" ht="36.75" customHeight="1">
      <c r="A1258" s="435"/>
      <c r="B1258" s="552" t="s">
        <v>5021</v>
      </c>
      <c r="C1258" s="553"/>
      <c r="D1258" s="544"/>
    </row>
    <row r="1259" spans="1:4" ht="36.75" customHeight="1">
      <c r="A1259" s="435"/>
      <c r="B1259" s="555" t="s">
        <v>5118</v>
      </c>
      <c r="C1259" s="555">
        <v>522900</v>
      </c>
      <c r="D1259" s="555" t="s">
        <v>1398</v>
      </c>
    </row>
    <row r="1260" spans="1:4" ht="36.75" customHeight="1">
      <c r="A1260" s="435"/>
      <c r="B1260" s="555" t="s">
        <v>4976</v>
      </c>
      <c r="C1260" s="555">
        <v>60000</v>
      </c>
      <c r="D1260" s="555" t="s">
        <v>4977</v>
      </c>
    </row>
    <row r="1261" spans="1:4" ht="36.75" customHeight="1">
      <c r="A1261" s="435"/>
      <c r="B1261" s="552" t="s">
        <v>4877</v>
      </c>
      <c r="C1261" s="555"/>
      <c r="D1261" s="555"/>
    </row>
    <row r="1262" spans="1:4" ht="36.75" customHeight="1">
      <c r="A1262" s="435"/>
      <c r="B1262" s="551" t="s">
        <v>5022</v>
      </c>
      <c r="C1262" s="553">
        <v>7000</v>
      </c>
      <c r="D1262" s="544" t="s">
        <v>1398</v>
      </c>
    </row>
    <row r="1263" spans="1:4" ht="36.75" customHeight="1">
      <c r="A1263" s="435"/>
      <c r="B1263" s="551" t="s">
        <v>4878</v>
      </c>
      <c r="C1263" s="549">
        <v>27646</v>
      </c>
      <c r="D1263" s="547" t="s">
        <v>1394</v>
      </c>
    </row>
    <row r="1264" spans="1:4" ht="36.75" customHeight="1">
      <c r="A1264" s="435"/>
      <c r="B1264" s="412" t="s">
        <v>4876</v>
      </c>
      <c r="C1264" s="549"/>
      <c r="D1264" s="547"/>
    </row>
    <row r="1265" spans="1:4" ht="36.75" customHeight="1">
      <c r="A1265" s="435"/>
      <c r="B1265" s="605" t="s">
        <v>4879</v>
      </c>
      <c r="C1265" s="553"/>
      <c r="D1265" s="544"/>
    </row>
    <row r="1266" spans="1:4" ht="36.75" customHeight="1">
      <c r="A1266" s="435"/>
      <c r="B1266" s="550" t="s">
        <v>4880</v>
      </c>
      <c r="C1266" s="549">
        <v>339.3</v>
      </c>
      <c r="D1266" s="547" t="s">
        <v>3440</v>
      </c>
    </row>
    <row r="1267" spans="1:4" ht="36.75" customHeight="1">
      <c r="A1267" s="435"/>
      <c r="B1267" s="412" t="s">
        <v>4876</v>
      </c>
      <c r="C1267" s="549">
        <v>339.3</v>
      </c>
      <c r="D1267" s="547" t="s">
        <v>3440</v>
      </c>
    </row>
    <row r="1268" spans="1:4" ht="36.75" customHeight="1">
      <c r="A1268" s="435"/>
      <c r="B1268" s="603" t="s">
        <v>4881</v>
      </c>
      <c r="C1268" s="549">
        <v>2756</v>
      </c>
      <c r="D1268" s="547" t="s">
        <v>3440</v>
      </c>
    </row>
    <row r="1269" spans="1:4" ht="36.75" customHeight="1">
      <c r="A1269" s="435"/>
      <c r="B1269" s="412" t="s">
        <v>4876</v>
      </c>
      <c r="C1269" s="549">
        <v>2756</v>
      </c>
      <c r="D1269" s="547" t="s">
        <v>3440</v>
      </c>
    </row>
    <row r="1270" spans="1:4" ht="36.75" customHeight="1">
      <c r="A1270" s="435"/>
      <c r="B1270" s="603" t="s">
        <v>4882</v>
      </c>
      <c r="C1270" s="549">
        <v>197</v>
      </c>
      <c r="D1270" s="547" t="s">
        <v>3440</v>
      </c>
    </row>
    <row r="1271" spans="1:4" ht="36.75" customHeight="1">
      <c r="A1271" s="435"/>
      <c r="B1271" s="412" t="s">
        <v>4876</v>
      </c>
      <c r="C1271" s="549">
        <v>197</v>
      </c>
      <c r="D1271" s="547" t="s">
        <v>3440</v>
      </c>
    </row>
    <row r="1272" spans="1:4" ht="36.75" customHeight="1">
      <c r="A1272" s="435"/>
      <c r="B1272" s="603" t="s">
        <v>4883</v>
      </c>
      <c r="C1272" s="549">
        <v>4245</v>
      </c>
      <c r="D1272" s="547" t="s">
        <v>282</v>
      </c>
    </row>
    <row r="1273" spans="1:4" ht="36.75" customHeight="1">
      <c r="A1273" s="435"/>
      <c r="B1273" s="412" t="s">
        <v>4876</v>
      </c>
      <c r="C1273" s="549">
        <v>4245</v>
      </c>
      <c r="D1273" s="547" t="s">
        <v>282</v>
      </c>
    </row>
    <row r="1274" spans="1:4" ht="36.75" customHeight="1">
      <c r="A1274" s="435"/>
      <c r="B1274" s="607" t="s">
        <v>4884</v>
      </c>
      <c r="C1274" s="553"/>
      <c r="D1274" s="544"/>
    </row>
    <row r="1275" spans="1:4" ht="36.75" customHeight="1">
      <c r="A1275" s="435"/>
      <c r="B1275" s="603" t="s">
        <v>4885</v>
      </c>
      <c r="C1275" s="549">
        <v>30000</v>
      </c>
      <c r="D1275" s="547" t="s">
        <v>5119</v>
      </c>
    </row>
    <row r="1276" spans="1:4" ht="36.75" customHeight="1">
      <c r="A1276" s="435"/>
      <c r="B1276" s="412" t="s">
        <v>4876</v>
      </c>
      <c r="C1276" s="549">
        <v>30000</v>
      </c>
      <c r="D1276" s="547" t="s">
        <v>5119</v>
      </c>
    </row>
    <row r="1277" spans="1:4" ht="36.75" customHeight="1">
      <c r="A1277" s="435"/>
      <c r="B1277" s="603" t="s">
        <v>4886</v>
      </c>
      <c r="C1277" s="549">
        <v>16750</v>
      </c>
      <c r="D1277" s="547" t="s">
        <v>282</v>
      </c>
    </row>
    <row r="1278" spans="1:4" ht="36.75" customHeight="1">
      <c r="A1278" s="435"/>
      <c r="B1278" s="412" t="s">
        <v>4876</v>
      </c>
      <c r="C1278" s="549">
        <v>16750</v>
      </c>
      <c r="D1278" s="547" t="s">
        <v>282</v>
      </c>
    </row>
    <row r="1279" spans="1:4" ht="36.75" customHeight="1">
      <c r="A1279" s="435"/>
      <c r="B1279" s="607" t="s">
        <v>4887</v>
      </c>
      <c r="C1279" s="553"/>
      <c r="D1279" s="544"/>
    </row>
    <row r="1280" spans="1:4" ht="36.75" customHeight="1">
      <c r="A1280" s="435"/>
      <c r="B1280" s="608" t="s">
        <v>4888</v>
      </c>
      <c r="C1280" s="609"/>
      <c r="D1280" s="610"/>
    </row>
    <row r="1281" spans="1:4" ht="36.75" customHeight="1">
      <c r="A1281" s="435"/>
      <c r="B1281" s="412" t="s">
        <v>4862</v>
      </c>
      <c r="C1281" s="609"/>
      <c r="D1281" s="610"/>
    </row>
    <row r="1282" spans="1:4" ht="36.75" customHeight="1">
      <c r="A1282" s="435"/>
      <c r="B1282" s="412" t="s">
        <v>5014</v>
      </c>
      <c r="C1282" s="549">
        <v>1169</v>
      </c>
      <c r="D1282" s="547" t="s">
        <v>3440</v>
      </c>
    </row>
    <row r="1283" spans="1:4" ht="36.75" customHeight="1">
      <c r="A1283" s="435"/>
      <c r="B1283" s="412" t="s">
        <v>4876</v>
      </c>
      <c r="C1283" s="549"/>
      <c r="D1283" s="547"/>
    </row>
    <row r="1284" spans="1:4" ht="36.75" customHeight="1">
      <c r="A1284" s="435"/>
      <c r="B1284" s="603" t="s">
        <v>4863</v>
      </c>
      <c r="C1284" s="549"/>
      <c r="D1284" s="547"/>
    </row>
    <row r="1285" spans="1:4" ht="36.75" customHeight="1">
      <c r="A1285" s="435"/>
      <c r="B1285" s="412" t="s">
        <v>4978</v>
      </c>
      <c r="C1285" s="549">
        <v>573</v>
      </c>
      <c r="D1285" s="547" t="s">
        <v>1432</v>
      </c>
    </row>
    <row r="1286" spans="1:4" ht="36.75" customHeight="1">
      <c r="A1286" s="435"/>
      <c r="B1286" s="603" t="s">
        <v>4864</v>
      </c>
      <c r="C1286" s="549"/>
      <c r="D1286" s="547"/>
    </row>
    <row r="1287" spans="1:4" ht="36.75" customHeight="1">
      <c r="A1287" s="435"/>
      <c r="B1287" s="412" t="s">
        <v>6299</v>
      </c>
      <c r="C1287" s="549">
        <v>468</v>
      </c>
      <c r="D1287" s="547" t="s">
        <v>1432</v>
      </c>
    </row>
    <row r="1288" spans="1:4" ht="36.75" customHeight="1">
      <c r="A1288" s="435"/>
      <c r="B1288" s="611" t="s">
        <v>4980</v>
      </c>
      <c r="C1288" s="549"/>
      <c r="D1288" s="547"/>
    </row>
    <row r="1289" spans="1:4" ht="36.75" customHeight="1">
      <c r="A1289" s="435"/>
      <c r="B1289" s="486" t="s">
        <v>4981</v>
      </c>
      <c r="C1289" s="549">
        <v>300</v>
      </c>
      <c r="D1289" s="547" t="s">
        <v>3440</v>
      </c>
    </row>
    <row r="1290" spans="1:4" ht="36.75" customHeight="1">
      <c r="A1290" s="435"/>
      <c r="B1290" s="611" t="s">
        <v>4982</v>
      </c>
      <c r="C1290" s="549"/>
      <c r="D1290" s="547"/>
    </row>
    <row r="1291" spans="1:4" ht="36.75" customHeight="1">
      <c r="A1291" s="435"/>
      <c r="B1291" s="486" t="s">
        <v>4983</v>
      </c>
      <c r="C1291" s="549">
        <v>300000</v>
      </c>
      <c r="D1291" s="547" t="s">
        <v>3440</v>
      </c>
    </row>
    <row r="1292" spans="1:4" ht="36.75" customHeight="1">
      <c r="A1292" s="435"/>
      <c r="B1292" s="559" t="s">
        <v>4876</v>
      </c>
      <c r="C1292" s="553"/>
      <c r="D1292" s="544" t="s">
        <v>1432</v>
      </c>
    </row>
    <row r="1293" spans="1:4" ht="36.75" customHeight="1">
      <c r="A1293" s="435"/>
      <c r="B1293" s="603" t="s">
        <v>4889</v>
      </c>
      <c r="C1293" s="549"/>
      <c r="D1293" s="547"/>
    </row>
    <row r="1294" spans="1:4" ht="36.75" customHeight="1">
      <c r="A1294" s="435"/>
      <c r="B1294" s="412" t="s">
        <v>4890</v>
      </c>
      <c r="C1294" s="549">
        <v>51890</v>
      </c>
      <c r="D1294" s="547" t="s">
        <v>1432</v>
      </c>
    </row>
    <row r="1295" spans="1:4" ht="36.75" customHeight="1">
      <c r="A1295" s="435"/>
      <c r="B1295" s="412" t="s">
        <v>4891</v>
      </c>
      <c r="C1295" s="549">
        <v>5000</v>
      </c>
      <c r="D1295" s="547" t="s">
        <v>449</v>
      </c>
    </row>
    <row r="1296" spans="1:4" ht="36.75" customHeight="1">
      <c r="A1296" s="435"/>
      <c r="B1296" s="412" t="s">
        <v>4892</v>
      </c>
      <c r="C1296" s="549">
        <v>850</v>
      </c>
      <c r="D1296" s="547" t="s">
        <v>1432</v>
      </c>
    </row>
    <row r="1297" spans="1:4" ht="36.75" customHeight="1">
      <c r="A1297" s="435"/>
      <c r="B1297" s="412" t="s">
        <v>4893</v>
      </c>
      <c r="C1297" s="549">
        <v>48</v>
      </c>
      <c r="D1297" s="547" t="s">
        <v>4894</v>
      </c>
    </row>
    <row r="1298" spans="1:4" ht="36.75" customHeight="1">
      <c r="A1298" s="435"/>
      <c r="B1298" s="412" t="s">
        <v>4895</v>
      </c>
      <c r="C1298" s="549">
        <v>4000</v>
      </c>
      <c r="D1298" s="547" t="s">
        <v>1432</v>
      </c>
    </row>
    <row r="1299" spans="1:4" ht="36.75" customHeight="1">
      <c r="A1299" s="435"/>
      <c r="B1299" s="603" t="s">
        <v>4896</v>
      </c>
      <c r="C1299" s="549"/>
      <c r="D1299" s="547"/>
    </row>
    <row r="1300" spans="1:4" ht="36.75" customHeight="1">
      <c r="A1300" s="435"/>
      <c r="B1300" s="412" t="s">
        <v>4897</v>
      </c>
      <c r="C1300" s="549">
        <v>9250</v>
      </c>
      <c r="D1300" s="547" t="s">
        <v>1432</v>
      </c>
    </row>
    <row r="1301" spans="1:4" ht="36.75" customHeight="1">
      <c r="A1301" s="435"/>
      <c r="B1301" s="412" t="s">
        <v>4898</v>
      </c>
      <c r="C1301" s="549">
        <v>6500</v>
      </c>
      <c r="D1301" s="547" t="s">
        <v>1432</v>
      </c>
    </row>
    <row r="1302" spans="1:4" ht="36.75" customHeight="1">
      <c r="A1302" s="435"/>
      <c r="B1302" s="412" t="s">
        <v>4899</v>
      </c>
      <c r="C1302" s="549">
        <v>700</v>
      </c>
      <c r="D1302" s="547" t="s">
        <v>1432</v>
      </c>
    </row>
    <row r="1303" spans="1:4" ht="36.75" customHeight="1">
      <c r="A1303" s="435"/>
      <c r="B1303" s="412" t="s">
        <v>4900</v>
      </c>
      <c r="C1303" s="549">
        <v>900</v>
      </c>
      <c r="D1303" s="547" t="s">
        <v>1432</v>
      </c>
    </row>
    <row r="1304" spans="1:4" ht="36.75" customHeight="1">
      <c r="A1304" s="435"/>
      <c r="B1304" s="412" t="s">
        <v>4901</v>
      </c>
      <c r="C1304" s="549">
        <v>37400</v>
      </c>
      <c r="D1304" s="547" t="s">
        <v>1432</v>
      </c>
    </row>
    <row r="1305" spans="1:4" ht="36.75" customHeight="1">
      <c r="A1305" s="435"/>
      <c r="B1305" s="412" t="s">
        <v>4902</v>
      </c>
      <c r="C1305" s="549">
        <v>190</v>
      </c>
      <c r="D1305" s="547" t="s">
        <v>1432</v>
      </c>
    </row>
    <row r="1306" spans="1:4" ht="36.75" customHeight="1">
      <c r="A1306" s="435"/>
      <c r="B1306" s="412" t="s">
        <v>4903</v>
      </c>
      <c r="C1306" s="549">
        <v>230</v>
      </c>
      <c r="D1306" s="547" t="s">
        <v>1432</v>
      </c>
    </row>
    <row r="1307" spans="1:4" ht="36.75" customHeight="1">
      <c r="A1307" s="435"/>
      <c r="B1307" s="412" t="s">
        <v>4904</v>
      </c>
      <c r="C1307" s="549">
        <v>275</v>
      </c>
      <c r="D1307" s="547" t="s">
        <v>1432</v>
      </c>
    </row>
    <row r="1308" spans="1:4" ht="36.75" customHeight="1">
      <c r="A1308" s="435"/>
      <c r="B1308" s="412" t="s">
        <v>4905</v>
      </c>
      <c r="C1308" s="549">
        <v>310</v>
      </c>
      <c r="D1308" s="547" t="s">
        <v>1432</v>
      </c>
    </row>
    <row r="1309" spans="1:4" ht="36.75" customHeight="1">
      <c r="A1309" s="435"/>
      <c r="B1309" s="412" t="s">
        <v>4906</v>
      </c>
      <c r="C1309" s="549">
        <v>74</v>
      </c>
      <c r="D1309" s="547" t="s">
        <v>4894</v>
      </c>
    </row>
    <row r="1310" spans="1:4" ht="36.75" customHeight="1">
      <c r="A1310" s="435"/>
      <c r="B1310" s="412" t="s">
        <v>4907</v>
      </c>
      <c r="C1310" s="549">
        <v>12000</v>
      </c>
      <c r="D1310" s="547" t="s">
        <v>1432</v>
      </c>
    </row>
    <row r="1311" spans="1:4" ht="36.75" customHeight="1">
      <c r="A1311" s="435"/>
      <c r="B1311" s="559" t="s">
        <v>4908</v>
      </c>
      <c r="C1311" s="553">
        <v>15000</v>
      </c>
      <c r="D1311" s="544" t="s">
        <v>657</v>
      </c>
    </row>
    <row r="1312" spans="1:4" ht="36.75" customHeight="1">
      <c r="A1312" s="435"/>
      <c r="B1312" s="550" t="s">
        <v>4984</v>
      </c>
      <c r="C1312" s="553"/>
      <c r="D1312" s="544"/>
    </row>
    <row r="1313" spans="1:4" ht="36.75" customHeight="1">
      <c r="A1313" s="435"/>
      <c r="B1313" s="486" t="s">
        <v>4909</v>
      </c>
      <c r="C1313" s="549">
        <v>7664</v>
      </c>
      <c r="D1313" s="547" t="s">
        <v>1432</v>
      </c>
    </row>
    <row r="1314" spans="1:4" ht="36.75" customHeight="1">
      <c r="A1314" s="435"/>
      <c r="B1314" s="486" t="s">
        <v>4910</v>
      </c>
      <c r="C1314" s="549">
        <v>18850</v>
      </c>
      <c r="D1314" s="547" t="s">
        <v>1432</v>
      </c>
    </row>
    <row r="1315" spans="1:4" ht="36.75" customHeight="1">
      <c r="A1315" s="435"/>
      <c r="B1315" s="486" t="s">
        <v>4911</v>
      </c>
      <c r="C1315" s="549">
        <v>29300</v>
      </c>
      <c r="D1315" s="547" t="s">
        <v>1432</v>
      </c>
    </row>
    <row r="1316" spans="1:4" ht="36.75" customHeight="1">
      <c r="A1316" s="435"/>
      <c r="B1316" s="486" t="s">
        <v>4912</v>
      </c>
      <c r="C1316" s="549">
        <v>13250</v>
      </c>
      <c r="D1316" s="547" t="s">
        <v>1432</v>
      </c>
    </row>
    <row r="1317" spans="1:4" ht="36.75" customHeight="1">
      <c r="A1317" s="435"/>
      <c r="B1317" s="555" t="s">
        <v>4913</v>
      </c>
      <c r="C1317" s="549">
        <v>63000</v>
      </c>
      <c r="D1317" s="547" t="s">
        <v>1432</v>
      </c>
    </row>
    <row r="1318" spans="1:4" ht="36.75" customHeight="1">
      <c r="A1318" s="435"/>
      <c r="B1318" s="551" t="s">
        <v>4914</v>
      </c>
      <c r="C1318" s="549">
        <v>10500</v>
      </c>
      <c r="D1318" s="547" t="s">
        <v>1432</v>
      </c>
    </row>
    <row r="1319" spans="1:4" ht="36.75" customHeight="1">
      <c r="A1319" s="435"/>
      <c r="B1319" s="551" t="s">
        <v>4915</v>
      </c>
      <c r="C1319" s="549">
        <v>2350</v>
      </c>
      <c r="D1319" s="547" t="s">
        <v>1432</v>
      </c>
    </row>
    <row r="1320" spans="1:4" ht="36.75" customHeight="1">
      <c r="A1320" s="435"/>
      <c r="B1320" s="551" t="s">
        <v>4916</v>
      </c>
      <c r="C1320" s="549">
        <v>74</v>
      </c>
      <c r="D1320" s="547" t="s">
        <v>4917</v>
      </c>
    </row>
    <row r="1321" spans="1:4" ht="36.75" customHeight="1">
      <c r="A1321" s="435"/>
      <c r="B1321" s="551" t="s">
        <v>4918</v>
      </c>
      <c r="C1321" s="549">
        <v>4000</v>
      </c>
      <c r="D1321" s="547" t="s">
        <v>1432</v>
      </c>
    </row>
    <row r="1322" spans="1:4" ht="36.75" customHeight="1">
      <c r="A1322" s="435"/>
      <c r="B1322" s="551" t="s">
        <v>4919</v>
      </c>
      <c r="C1322" s="549">
        <v>45</v>
      </c>
      <c r="D1322" s="547" t="s">
        <v>4917</v>
      </c>
    </row>
    <row r="1323" spans="1:4" ht="36.75" customHeight="1">
      <c r="A1323" s="435"/>
      <c r="B1323" s="559" t="s">
        <v>4908</v>
      </c>
      <c r="C1323" s="553">
        <v>15000</v>
      </c>
      <c r="D1323" s="544" t="s">
        <v>657</v>
      </c>
    </row>
    <row r="1324" spans="1:4" ht="36.75" customHeight="1">
      <c r="A1324" s="435"/>
      <c r="B1324" s="559" t="s">
        <v>5023</v>
      </c>
      <c r="C1324" s="553">
        <v>175085</v>
      </c>
      <c r="D1324" s="544" t="s">
        <v>282</v>
      </c>
    </row>
    <row r="1325" spans="1:4" ht="36.75" customHeight="1">
      <c r="A1325" s="435"/>
      <c r="B1325" s="412" t="s">
        <v>4952</v>
      </c>
      <c r="C1325" s="549">
        <v>412.96</v>
      </c>
      <c r="D1325" s="547" t="s">
        <v>4917</v>
      </c>
    </row>
    <row r="1326" spans="1:4" ht="36.75" customHeight="1">
      <c r="A1326" s="435"/>
      <c r="B1326" s="412" t="s">
        <v>5024</v>
      </c>
      <c r="C1326" s="549">
        <v>511110</v>
      </c>
      <c r="D1326" s="547" t="s">
        <v>282</v>
      </c>
    </row>
    <row r="1327" spans="1:4" ht="36.75" customHeight="1">
      <c r="A1327" s="435"/>
      <c r="B1327" s="412" t="s">
        <v>5120</v>
      </c>
      <c r="C1327" s="549">
        <v>204.52</v>
      </c>
      <c r="D1327" s="547" t="s">
        <v>2283</v>
      </c>
    </row>
    <row r="1328" spans="1:4" ht="36.75" customHeight="1">
      <c r="A1328" s="435"/>
      <c r="B1328" s="412" t="s">
        <v>5121</v>
      </c>
      <c r="C1328" s="549">
        <v>275000</v>
      </c>
      <c r="D1328" s="547" t="s">
        <v>282</v>
      </c>
    </row>
    <row r="1329" spans="1:4" ht="36.75" customHeight="1">
      <c r="A1329" s="435"/>
      <c r="B1329" s="412" t="s">
        <v>4957</v>
      </c>
      <c r="C1329" s="549">
        <v>636.53</v>
      </c>
      <c r="D1329" s="547" t="s">
        <v>1432</v>
      </c>
    </row>
    <row r="1330" spans="1:4" ht="36.75" customHeight="1">
      <c r="A1330" s="435"/>
      <c r="B1330" s="603" t="s">
        <v>4951</v>
      </c>
      <c r="C1330" s="549"/>
      <c r="D1330" s="547"/>
    </row>
    <row r="1331" spans="1:4" ht="36.75" customHeight="1">
      <c r="A1331" s="435"/>
      <c r="B1331" s="412" t="s">
        <v>5125</v>
      </c>
      <c r="C1331" s="549">
        <v>10050</v>
      </c>
      <c r="D1331" s="547" t="s">
        <v>1398</v>
      </c>
    </row>
    <row r="1332" spans="1:4" ht="36.75" customHeight="1">
      <c r="A1332" s="435"/>
      <c r="B1332" s="412" t="s">
        <v>5122</v>
      </c>
      <c r="C1332" s="549">
        <v>98600</v>
      </c>
      <c r="D1332" s="547" t="s">
        <v>1398</v>
      </c>
    </row>
    <row r="1333" spans="1:4" ht="36.75" customHeight="1">
      <c r="A1333" s="435"/>
      <c r="B1333" s="412" t="s">
        <v>4787</v>
      </c>
      <c r="C1333" s="549">
        <v>10450</v>
      </c>
      <c r="D1333" s="547" t="s">
        <v>1398</v>
      </c>
    </row>
    <row r="1334" spans="1:4" ht="36.75" customHeight="1">
      <c r="A1334" s="435"/>
      <c r="B1334" s="412" t="s">
        <v>5123</v>
      </c>
      <c r="C1334" s="549">
        <v>35000</v>
      </c>
      <c r="D1334" s="547" t="s">
        <v>1398</v>
      </c>
    </row>
    <row r="1335" spans="1:4" ht="36.75" customHeight="1">
      <c r="A1335" s="435"/>
      <c r="B1335" s="412" t="s">
        <v>5124</v>
      </c>
      <c r="C1335" s="549">
        <v>284</v>
      </c>
      <c r="D1335" s="547" t="s">
        <v>826</v>
      </c>
    </row>
    <row r="1336" spans="1:4" ht="36.75" customHeight="1">
      <c r="A1336" s="435"/>
      <c r="B1336" s="412" t="s">
        <v>5126</v>
      </c>
      <c r="C1336" s="549">
        <v>152000</v>
      </c>
      <c r="D1336" s="547" t="s">
        <v>1398</v>
      </c>
    </row>
    <row r="1337" spans="1:4" ht="36.75" customHeight="1">
      <c r="A1337" s="435"/>
      <c r="B1337" s="412" t="s">
        <v>5127</v>
      </c>
      <c r="C1337" s="549">
        <v>26000</v>
      </c>
      <c r="D1337" s="547" t="s">
        <v>1398</v>
      </c>
    </row>
    <row r="1338" spans="1:4" ht="36.75" customHeight="1">
      <c r="A1338" s="435"/>
      <c r="B1338" s="412" t="s">
        <v>4952</v>
      </c>
      <c r="C1338" s="412">
        <v>412.96</v>
      </c>
      <c r="D1338" s="412" t="s">
        <v>826</v>
      </c>
    </row>
    <row r="1339" spans="1:4" ht="36.75" customHeight="1">
      <c r="A1339" s="435"/>
      <c r="B1339" s="603"/>
      <c r="C1339" s="549"/>
      <c r="D1339" s="547"/>
    </row>
    <row r="1340" spans="1:4" ht="36.75" customHeight="1">
      <c r="A1340" s="435"/>
      <c r="B1340" s="603" t="s">
        <v>5154</v>
      </c>
      <c r="C1340" s="549"/>
      <c r="D1340" s="547"/>
    </row>
    <row r="1341" spans="1:4" ht="36.75" customHeight="1">
      <c r="A1341" s="435"/>
      <c r="B1341" s="412" t="s">
        <v>5125</v>
      </c>
      <c r="C1341" s="549">
        <v>10050</v>
      </c>
      <c r="D1341" s="547" t="s">
        <v>1398</v>
      </c>
    </row>
    <row r="1342" spans="1:4" ht="36.75" customHeight="1">
      <c r="A1342" s="435"/>
      <c r="B1342" s="412" t="s">
        <v>5122</v>
      </c>
      <c r="C1342" s="549">
        <v>98600</v>
      </c>
      <c r="D1342" s="547" t="s">
        <v>1398</v>
      </c>
    </row>
    <row r="1343" spans="1:4" ht="36.75" customHeight="1">
      <c r="A1343" s="435"/>
      <c r="B1343" s="412" t="s">
        <v>4787</v>
      </c>
      <c r="C1343" s="549">
        <v>10450</v>
      </c>
      <c r="D1343" s="547" t="s">
        <v>1398</v>
      </c>
    </row>
    <row r="1344" spans="1:4" ht="36.75" customHeight="1">
      <c r="A1344" s="435"/>
      <c r="B1344" s="412" t="s">
        <v>5123</v>
      </c>
      <c r="C1344" s="549">
        <v>35000</v>
      </c>
      <c r="D1344" s="547" t="s">
        <v>1398</v>
      </c>
    </row>
    <row r="1345" spans="1:4" ht="36.75" customHeight="1">
      <c r="A1345" s="435"/>
      <c r="B1345" s="412" t="s">
        <v>5124</v>
      </c>
      <c r="C1345" s="549">
        <v>284</v>
      </c>
      <c r="D1345" s="547" t="s">
        <v>826</v>
      </c>
    </row>
    <row r="1346" spans="1:4" ht="36.75" customHeight="1">
      <c r="A1346" s="435"/>
      <c r="B1346" s="412" t="s">
        <v>4985</v>
      </c>
      <c r="C1346" s="549">
        <v>3000</v>
      </c>
      <c r="D1346" s="547" t="s">
        <v>1432</v>
      </c>
    </row>
    <row r="1347" spans="1:4" ht="36.75" customHeight="1">
      <c r="A1347" s="435"/>
      <c r="B1347" s="412" t="s">
        <v>4986</v>
      </c>
      <c r="C1347" s="549">
        <v>28000</v>
      </c>
      <c r="D1347" s="547" t="s">
        <v>282</v>
      </c>
    </row>
    <row r="1348" spans="1:4" ht="36.75" customHeight="1">
      <c r="A1348" s="435"/>
      <c r="B1348" s="412" t="s">
        <v>4987</v>
      </c>
      <c r="C1348" s="549">
        <v>24000</v>
      </c>
      <c r="D1348" s="547" t="s">
        <v>282</v>
      </c>
    </row>
    <row r="1349" spans="1:4" ht="36.75" customHeight="1">
      <c r="A1349" s="435"/>
      <c r="B1349" s="412" t="s">
        <v>4988</v>
      </c>
      <c r="C1349" s="549">
        <v>23500</v>
      </c>
      <c r="D1349" s="547" t="s">
        <v>282</v>
      </c>
    </row>
    <row r="1350" spans="1:4" ht="36.75" customHeight="1">
      <c r="A1350" s="435"/>
      <c r="B1350" s="412" t="s">
        <v>4989</v>
      </c>
      <c r="C1350" s="549">
        <v>22500</v>
      </c>
      <c r="D1350" s="547" t="s">
        <v>282</v>
      </c>
    </row>
    <row r="1351" spans="1:4" ht="36.75" customHeight="1">
      <c r="A1351" s="435"/>
      <c r="B1351" s="412" t="s">
        <v>4990</v>
      </c>
      <c r="C1351" s="549">
        <v>9700</v>
      </c>
      <c r="D1351" s="547" t="s">
        <v>1432</v>
      </c>
    </row>
    <row r="1352" spans="1:4" ht="36.75" customHeight="1">
      <c r="A1352" s="435"/>
      <c r="B1352" s="412" t="s">
        <v>4991</v>
      </c>
      <c r="C1352" s="549">
        <v>15700</v>
      </c>
      <c r="D1352" s="547" t="s">
        <v>1432</v>
      </c>
    </row>
    <row r="1353" spans="1:4" ht="36.75" customHeight="1">
      <c r="A1353" s="435"/>
      <c r="B1353" s="412" t="s">
        <v>4992</v>
      </c>
      <c r="C1353" s="549">
        <v>2400</v>
      </c>
      <c r="D1353" s="547" t="s">
        <v>1432</v>
      </c>
    </row>
    <row r="1354" spans="1:4" ht="36.75" customHeight="1">
      <c r="A1354" s="435"/>
      <c r="B1354" s="412" t="s">
        <v>4993</v>
      </c>
      <c r="C1354" s="549">
        <v>80000</v>
      </c>
      <c r="D1354" s="547" t="s">
        <v>1432</v>
      </c>
    </row>
    <row r="1355" spans="1:4" ht="36.75" customHeight="1">
      <c r="A1355" s="435"/>
      <c r="B1355" s="412" t="s">
        <v>4994</v>
      </c>
      <c r="C1355" s="549">
        <v>42000</v>
      </c>
      <c r="D1355" s="547" t="s">
        <v>1432</v>
      </c>
    </row>
    <row r="1356" spans="1:4" ht="36.75" customHeight="1">
      <c r="A1356" s="435"/>
      <c r="B1356" s="412" t="s">
        <v>4995</v>
      </c>
      <c r="C1356" s="549">
        <v>39500</v>
      </c>
      <c r="D1356" s="547" t="s">
        <v>1432</v>
      </c>
    </row>
    <row r="1357" spans="1:4" ht="36.75" customHeight="1">
      <c r="A1357" s="435"/>
      <c r="B1357" s="412" t="s">
        <v>4996</v>
      </c>
      <c r="C1357" s="549">
        <v>18500</v>
      </c>
      <c r="D1357" s="547" t="s">
        <v>1432</v>
      </c>
    </row>
    <row r="1358" spans="1:4" ht="36.75" customHeight="1">
      <c r="A1358" s="435"/>
      <c r="B1358" s="412" t="s">
        <v>4997</v>
      </c>
      <c r="C1358" s="549">
        <v>200000</v>
      </c>
      <c r="D1358" s="547" t="s">
        <v>657</v>
      </c>
    </row>
    <row r="1359" spans="1:4" ht="36.75" customHeight="1">
      <c r="A1359" s="435"/>
      <c r="B1359" s="559" t="s">
        <v>5050</v>
      </c>
      <c r="C1359" s="553">
        <v>775000</v>
      </c>
      <c r="D1359" s="544" t="s">
        <v>282</v>
      </c>
    </row>
    <row r="1360" spans="1:4" ht="36.75" customHeight="1">
      <c r="A1360" s="435"/>
      <c r="B1360" s="606" t="s">
        <v>5128</v>
      </c>
      <c r="C1360" s="553"/>
      <c r="D1360" s="544"/>
    </row>
    <row r="1361" spans="1:4" ht="36.75" customHeight="1">
      <c r="A1361" s="435"/>
      <c r="B1361" s="559" t="s">
        <v>5042</v>
      </c>
      <c r="C1361" s="553">
        <v>7500</v>
      </c>
      <c r="D1361" s="544" t="s">
        <v>560</v>
      </c>
    </row>
    <row r="1362" spans="1:4" ht="36.75" customHeight="1">
      <c r="A1362" s="435"/>
      <c r="B1362" s="559" t="s">
        <v>5043</v>
      </c>
      <c r="C1362" s="553">
        <v>2800</v>
      </c>
      <c r="D1362" s="544" t="s">
        <v>560</v>
      </c>
    </row>
    <row r="1363" spans="1:4" ht="36.75" customHeight="1">
      <c r="A1363" s="435"/>
      <c r="B1363" s="559" t="s">
        <v>5044</v>
      </c>
      <c r="C1363" s="553">
        <v>27572</v>
      </c>
      <c r="D1363" s="544" t="s">
        <v>560</v>
      </c>
    </row>
    <row r="1364" spans="1:4" ht="36.75" customHeight="1">
      <c r="A1364" s="435"/>
      <c r="B1364" s="559" t="s">
        <v>5045</v>
      </c>
      <c r="C1364" s="553">
        <v>37195</v>
      </c>
      <c r="D1364" s="544" t="s">
        <v>560</v>
      </c>
    </row>
    <row r="1365" spans="1:4" ht="36.75" customHeight="1">
      <c r="A1365" s="435"/>
      <c r="B1365" s="559" t="s">
        <v>5046</v>
      </c>
      <c r="C1365" s="553">
        <v>136</v>
      </c>
      <c r="D1365" s="544" t="s">
        <v>2196</v>
      </c>
    </row>
    <row r="1366" spans="1:4" ht="36.75" customHeight="1">
      <c r="A1366" s="435"/>
      <c r="B1366" s="559" t="s">
        <v>5047</v>
      </c>
      <c r="C1366" s="553">
        <v>4105</v>
      </c>
      <c r="D1366" s="544" t="s">
        <v>5049</v>
      </c>
    </row>
    <row r="1367" spans="1:4" ht="36.75" customHeight="1">
      <c r="A1367" s="435"/>
      <c r="B1367" s="559" t="s">
        <v>5048</v>
      </c>
      <c r="C1367" s="553">
        <v>2820</v>
      </c>
      <c r="D1367" s="544" t="s">
        <v>560</v>
      </c>
    </row>
    <row r="1368" spans="1:4" ht="36.75" customHeight="1">
      <c r="A1368" s="435"/>
      <c r="B1368" s="606" t="s">
        <v>5129</v>
      </c>
      <c r="C1368" s="553"/>
      <c r="D1368" s="544"/>
    </row>
    <row r="1369" spans="1:4" ht="36.75" customHeight="1">
      <c r="A1369" s="435"/>
      <c r="B1369" s="606" t="s">
        <v>5051</v>
      </c>
      <c r="C1369" s="553"/>
      <c r="D1369" s="544"/>
    </row>
    <row r="1370" spans="1:4" ht="36.75" customHeight="1">
      <c r="A1370" s="435"/>
      <c r="B1370" s="559" t="s">
        <v>5052</v>
      </c>
      <c r="C1370" s="553">
        <v>46132</v>
      </c>
      <c r="D1370" s="553" t="s">
        <v>5058</v>
      </c>
    </row>
    <row r="1371" spans="1:4" ht="36.75" customHeight="1">
      <c r="A1371" s="435"/>
      <c r="B1371" s="559" t="s">
        <v>5053</v>
      </c>
      <c r="C1371" s="553">
        <v>34959</v>
      </c>
      <c r="D1371" s="553" t="s">
        <v>5059</v>
      </c>
    </row>
    <row r="1372" spans="1:4" ht="36.75" customHeight="1">
      <c r="A1372" s="435"/>
      <c r="B1372" s="559" t="s">
        <v>5054</v>
      </c>
      <c r="C1372" s="553">
        <v>1900</v>
      </c>
      <c r="D1372" s="553" t="s">
        <v>560</v>
      </c>
    </row>
    <row r="1373" spans="1:4" ht="36.75" customHeight="1">
      <c r="A1373" s="435"/>
      <c r="B1373" s="559" t="s">
        <v>5055</v>
      </c>
      <c r="C1373" s="553">
        <v>8939</v>
      </c>
      <c r="D1373" s="553" t="s">
        <v>560</v>
      </c>
    </row>
    <row r="1374" spans="1:4" ht="36.75" customHeight="1">
      <c r="A1374" s="435"/>
      <c r="B1374" s="559" t="s">
        <v>5056</v>
      </c>
      <c r="C1374" s="553">
        <v>26856</v>
      </c>
      <c r="D1374" s="553" t="s">
        <v>282</v>
      </c>
    </row>
    <row r="1375" spans="1:4" ht="36.75" customHeight="1">
      <c r="A1375" s="435"/>
      <c r="B1375" s="606" t="s">
        <v>5130</v>
      </c>
      <c r="C1375" s="553"/>
      <c r="D1375" s="553"/>
    </row>
    <row r="1376" spans="1:4" ht="36.75" customHeight="1">
      <c r="A1376" s="435"/>
      <c r="B1376" s="559" t="s">
        <v>5057</v>
      </c>
      <c r="C1376" s="553">
        <v>101</v>
      </c>
      <c r="D1376" s="553" t="s">
        <v>2196</v>
      </c>
    </row>
    <row r="1377" spans="1:4" ht="36.75" customHeight="1">
      <c r="A1377" s="435"/>
      <c r="B1377" s="606" t="s">
        <v>5063</v>
      </c>
      <c r="C1377" s="553"/>
      <c r="D1377" s="553"/>
    </row>
    <row r="1378" spans="1:4" ht="36.75" customHeight="1">
      <c r="A1378" s="435"/>
      <c r="B1378" s="559" t="s">
        <v>5060</v>
      </c>
      <c r="C1378" s="553">
        <v>85000</v>
      </c>
      <c r="D1378" s="553" t="s">
        <v>1398</v>
      </c>
    </row>
    <row r="1379" spans="1:4" ht="36.75" customHeight="1">
      <c r="A1379" s="435"/>
      <c r="B1379" s="559" t="s">
        <v>5061</v>
      </c>
      <c r="C1379" s="553">
        <v>15000</v>
      </c>
      <c r="D1379" s="553" t="s">
        <v>1398</v>
      </c>
    </row>
    <row r="1380" spans="1:4" ht="36.75" customHeight="1">
      <c r="A1380" s="435"/>
      <c r="B1380" s="559" t="s">
        <v>5062</v>
      </c>
      <c r="C1380" s="553">
        <v>555</v>
      </c>
      <c r="D1380" s="553" t="s">
        <v>826</v>
      </c>
    </row>
    <row r="1381" spans="1:4" ht="36.75" customHeight="1">
      <c r="A1381" s="435"/>
      <c r="B1381" s="559" t="s">
        <v>5064</v>
      </c>
      <c r="C1381" s="553">
        <v>5500</v>
      </c>
      <c r="D1381" s="553" t="s">
        <v>1432</v>
      </c>
    </row>
    <row r="1382" spans="1:4" ht="36.75" customHeight="1">
      <c r="A1382" s="435"/>
      <c r="B1382" s="559" t="s">
        <v>5065</v>
      </c>
      <c r="C1382" s="553">
        <v>5000</v>
      </c>
      <c r="D1382" s="553" t="s">
        <v>1398</v>
      </c>
    </row>
    <row r="1383" spans="1:4" ht="36.75" customHeight="1">
      <c r="A1383" s="435"/>
      <c r="B1383" s="559" t="s">
        <v>5066</v>
      </c>
      <c r="C1383" s="553">
        <v>1200</v>
      </c>
      <c r="D1383" s="553" t="s">
        <v>826</v>
      </c>
    </row>
    <row r="1384" spans="1:4" ht="36.75" customHeight="1">
      <c r="A1384" s="435"/>
      <c r="B1384" s="559" t="s">
        <v>5067</v>
      </c>
      <c r="C1384" s="553">
        <v>12800</v>
      </c>
      <c r="D1384" s="553" t="s">
        <v>1398</v>
      </c>
    </row>
    <row r="1385" spans="1:4" ht="36.75" customHeight="1">
      <c r="A1385" s="435"/>
      <c r="B1385" s="559" t="s">
        <v>5068</v>
      </c>
      <c r="C1385" s="553">
        <v>12000</v>
      </c>
      <c r="D1385" s="553" t="s">
        <v>282</v>
      </c>
    </row>
    <row r="1386" spans="1:4" ht="36.75" customHeight="1">
      <c r="A1386" s="435"/>
      <c r="B1386" s="559" t="s">
        <v>5069</v>
      </c>
      <c r="C1386" s="553">
        <v>7000</v>
      </c>
      <c r="D1386" s="553" t="s">
        <v>282</v>
      </c>
    </row>
    <row r="1387" spans="1:4" ht="36.75" customHeight="1">
      <c r="A1387" s="435"/>
      <c r="B1387" s="559" t="s">
        <v>5070</v>
      </c>
      <c r="C1387" s="553">
        <v>1200</v>
      </c>
      <c r="D1387" s="553" t="s">
        <v>1398</v>
      </c>
    </row>
    <row r="1388" spans="1:4" ht="36.75" customHeight="1">
      <c r="A1388" s="435"/>
      <c r="B1388" s="559" t="s">
        <v>5071</v>
      </c>
      <c r="C1388" s="553">
        <v>4500</v>
      </c>
      <c r="D1388" s="553" t="s">
        <v>1398</v>
      </c>
    </row>
    <row r="1389" spans="1:4" ht="36.75" customHeight="1">
      <c r="A1389" s="435"/>
      <c r="B1389" s="559" t="s">
        <v>5072</v>
      </c>
      <c r="C1389" s="553">
        <v>77000</v>
      </c>
      <c r="D1389" s="553" t="s">
        <v>1432</v>
      </c>
    </row>
    <row r="1390" spans="1:4" ht="36.75" customHeight="1">
      <c r="A1390" s="435"/>
      <c r="B1390" s="559" t="s">
        <v>5073</v>
      </c>
      <c r="C1390" s="553">
        <v>1700</v>
      </c>
      <c r="D1390" s="553" t="s">
        <v>1432</v>
      </c>
    </row>
    <row r="1391" spans="1:4" ht="36.75" customHeight="1">
      <c r="A1391" s="435"/>
      <c r="B1391" s="559" t="s">
        <v>5074</v>
      </c>
      <c r="C1391" s="553">
        <v>1800</v>
      </c>
      <c r="D1391" s="553" t="s">
        <v>1432</v>
      </c>
    </row>
    <row r="1392" spans="1:4" ht="36.75" customHeight="1">
      <c r="A1392" s="435"/>
      <c r="B1392" s="559" t="s">
        <v>5075</v>
      </c>
      <c r="C1392" s="553">
        <v>160</v>
      </c>
      <c r="D1392" s="553" t="s">
        <v>826</v>
      </c>
    </row>
    <row r="1393" spans="1:4" ht="36.75" customHeight="1">
      <c r="A1393" s="435"/>
      <c r="B1393" s="559" t="s">
        <v>5076</v>
      </c>
      <c r="C1393" s="553">
        <v>2100</v>
      </c>
      <c r="D1393" s="553" t="s">
        <v>1432</v>
      </c>
    </row>
    <row r="1394" spans="1:4" ht="36.75" customHeight="1">
      <c r="A1394" s="435"/>
      <c r="B1394" s="559" t="s">
        <v>5077</v>
      </c>
      <c r="C1394" s="553">
        <v>5000</v>
      </c>
      <c r="D1394" s="553" t="s">
        <v>1432</v>
      </c>
    </row>
    <row r="1395" spans="1:4" ht="36.75" customHeight="1">
      <c r="A1395" s="435"/>
      <c r="B1395" s="606" t="s">
        <v>5094</v>
      </c>
      <c r="C1395" s="553"/>
      <c r="D1395" s="553"/>
    </row>
    <row r="1396" spans="1:4" ht="36.75" customHeight="1">
      <c r="A1396" s="435"/>
      <c r="B1396" s="559" t="s">
        <v>5095</v>
      </c>
      <c r="C1396" s="553">
        <v>73120</v>
      </c>
      <c r="D1396" s="553" t="s">
        <v>1432</v>
      </c>
    </row>
    <row r="1397" spans="1:4" ht="36.75" customHeight="1">
      <c r="A1397" s="435"/>
      <c r="B1397" s="559" t="s">
        <v>5096</v>
      </c>
      <c r="C1397" s="553">
        <v>20000</v>
      </c>
      <c r="D1397" s="553" t="s">
        <v>1432</v>
      </c>
    </row>
    <row r="1398" spans="1:4" ht="36.75" customHeight="1">
      <c r="A1398" s="435"/>
      <c r="B1398" s="559" t="s">
        <v>5097</v>
      </c>
      <c r="C1398" s="553">
        <v>24000</v>
      </c>
      <c r="D1398" s="553" t="s">
        <v>1432</v>
      </c>
    </row>
    <row r="1399" spans="1:4" ht="36.75" customHeight="1">
      <c r="A1399" s="435"/>
      <c r="B1399" s="559" t="s">
        <v>5098</v>
      </c>
      <c r="C1399" s="553">
        <v>700</v>
      </c>
      <c r="D1399" s="553" t="s">
        <v>826</v>
      </c>
    </row>
    <row r="1400" spans="1:4" ht="36.75" customHeight="1">
      <c r="A1400" s="435"/>
      <c r="B1400" s="606" t="s">
        <v>5139</v>
      </c>
      <c r="C1400" s="553"/>
      <c r="D1400" s="553"/>
    </row>
    <row r="1401" spans="1:4" ht="36.75" customHeight="1">
      <c r="A1401" s="435"/>
      <c r="B1401" s="559" t="s">
        <v>5140</v>
      </c>
      <c r="C1401" s="553">
        <v>15000</v>
      </c>
      <c r="D1401" s="553" t="s">
        <v>1432</v>
      </c>
    </row>
    <row r="1402" spans="1:4" ht="36.75" customHeight="1">
      <c r="A1402" s="435"/>
      <c r="B1402" s="559" t="s">
        <v>5141</v>
      </c>
      <c r="C1402" s="553">
        <v>47000</v>
      </c>
      <c r="D1402" s="553" t="s">
        <v>1432</v>
      </c>
    </row>
    <row r="1403" spans="1:4" ht="36.75" customHeight="1">
      <c r="A1403" s="435"/>
      <c r="B1403" s="559" t="s">
        <v>5142</v>
      </c>
      <c r="C1403" s="553">
        <v>70000</v>
      </c>
      <c r="D1403" s="553" t="s">
        <v>1432</v>
      </c>
    </row>
    <row r="1404" spans="1:4" ht="36.75" customHeight="1">
      <c r="A1404" s="435"/>
      <c r="B1404" s="559" t="s">
        <v>5143</v>
      </c>
      <c r="C1404" s="553">
        <v>12900</v>
      </c>
      <c r="D1404" s="553" t="s">
        <v>1432</v>
      </c>
    </row>
    <row r="1405" spans="1:4" ht="36.75" customHeight="1">
      <c r="A1405" s="435"/>
      <c r="B1405" s="559" t="s">
        <v>5144</v>
      </c>
      <c r="C1405" s="553">
        <v>85000</v>
      </c>
      <c r="D1405" s="553" t="s">
        <v>282</v>
      </c>
    </row>
    <row r="1406" spans="1:4" ht="36.75" customHeight="1">
      <c r="A1406" s="435"/>
      <c r="B1406" s="559" t="s">
        <v>5145</v>
      </c>
      <c r="C1406" s="553">
        <v>95000</v>
      </c>
      <c r="D1406" s="553" t="s">
        <v>282</v>
      </c>
    </row>
    <row r="1407" spans="1:4" ht="36.75" customHeight="1">
      <c r="A1407" s="435"/>
      <c r="B1407" s="559" t="s">
        <v>5146</v>
      </c>
      <c r="C1407" s="553">
        <v>12000</v>
      </c>
      <c r="D1407" s="553" t="s">
        <v>1432</v>
      </c>
    </row>
    <row r="1408" spans="1:4" ht="36.75" customHeight="1">
      <c r="A1408" s="435"/>
      <c r="B1408" s="559" t="s">
        <v>5147</v>
      </c>
      <c r="C1408" s="553">
        <v>20000</v>
      </c>
      <c r="D1408" s="553" t="s">
        <v>1432</v>
      </c>
    </row>
    <row r="1409" spans="1:4" ht="36.75" customHeight="1">
      <c r="A1409" s="435"/>
      <c r="B1409" s="559" t="s">
        <v>5148</v>
      </c>
      <c r="C1409" s="553">
        <v>90000</v>
      </c>
      <c r="D1409" s="553" t="s">
        <v>282</v>
      </c>
    </row>
    <row r="1410" spans="1:4" ht="36.75" customHeight="1">
      <c r="A1410" s="435"/>
      <c r="B1410" s="559" t="s">
        <v>5149</v>
      </c>
      <c r="C1410" s="553">
        <v>10000</v>
      </c>
      <c r="D1410" s="553" t="s">
        <v>4843</v>
      </c>
    </row>
    <row r="1411" spans="1:4" ht="36.75" customHeight="1">
      <c r="A1411" s="435"/>
      <c r="B1411" s="559" t="s">
        <v>5150</v>
      </c>
      <c r="C1411" s="553">
        <v>75000</v>
      </c>
      <c r="D1411" s="553" t="s">
        <v>282</v>
      </c>
    </row>
    <row r="1412" spans="1:4" ht="36.75" customHeight="1">
      <c r="A1412" s="435"/>
      <c r="B1412" s="559" t="s">
        <v>5151</v>
      </c>
      <c r="C1412" s="553">
        <v>95000</v>
      </c>
      <c r="D1412" s="553" t="s">
        <v>282</v>
      </c>
    </row>
    <row r="1413" spans="1:4" ht="36.75" customHeight="1">
      <c r="A1413" s="435"/>
      <c r="B1413" s="559" t="s">
        <v>5152</v>
      </c>
      <c r="C1413" s="553">
        <v>24000</v>
      </c>
      <c r="D1413" s="553" t="s">
        <v>1432</v>
      </c>
    </row>
    <row r="1414" spans="1:4" ht="36.75" customHeight="1">
      <c r="A1414" s="435"/>
      <c r="B1414" s="559" t="s">
        <v>5153</v>
      </c>
      <c r="C1414" s="553">
        <v>75000</v>
      </c>
      <c r="D1414" s="553" t="s">
        <v>1030</v>
      </c>
    </row>
    <row r="1415" spans="1:4" ht="36.75" customHeight="1">
      <c r="A1415" s="419"/>
      <c r="B1415" s="423" t="s">
        <v>2245</v>
      </c>
      <c r="C1415" s="411">
        <f>ROUND(Data!K1207,2)</f>
        <v>0</v>
      </c>
      <c r="D1415" s="402"/>
    </row>
    <row r="1416" spans="1:4" ht="36.75" customHeight="1">
      <c r="A1416" s="419"/>
      <c r="B1416" s="612"/>
      <c r="C1416" s="613"/>
      <c r="D1416" s="509"/>
    </row>
    <row r="1417" spans="1:4" ht="36.75" customHeight="1">
      <c r="A1417" s="419"/>
      <c r="B1417" s="400" t="s">
        <v>2050</v>
      </c>
      <c r="C1417" s="613"/>
      <c r="D1417" s="402" t="s">
        <v>1398</v>
      </c>
    </row>
    <row r="1418" spans="1:4" ht="36.75" customHeight="1">
      <c r="A1418" s="614"/>
      <c r="B1418" s="615" t="s">
        <v>598</v>
      </c>
      <c r="C1418" s="616"/>
      <c r="D1418" s="617" t="s">
        <v>1398</v>
      </c>
    </row>
    <row r="1419" spans="1:4" ht="36.75" customHeight="1">
      <c r="A1419" s="413"/>
      <c r="B1419" s="619" t="s">
        <v>599</v>
      </c>
      <c r="C1419" s="620">
        <f>Data!K2493</f>
        <v>4881.1899999999996</v>
      </c>
      <c r="D1419" s="621" t="s">
        <v>2283</v>
      </c>
    </row>
    <row r="1420" spans="1:4" ht="36.75" customHeight="1">
      <c r="A1420" s="413"/>
      <c r="B1420" s="619" t="s">
        <v>1900</v>
      </c>
      <c r="C1420" s="620">
        <f>Data!K2516</f>
        <v>5175.3599999999997</v>
      </c>
      <c r="D1420" s="621" t="s">
        <v>2283</v>
      </c>
    </row>
    <row r="1421" spans="1:4" ht="36.75" customHeight="1">
      <c r="A1421" s="413"/>
      <c r="B1421" s="619" t="s">
        <v>2206</v>
      </c>
      <c r="C1421" s="620">
        <f>Data!R2581</f>
        <v>4457.7700000000004</v>
      </c>
      <c r="D1421" s="621" t="s">
        <v>2283</v>
      </c>
    </row>
    <row r="1422" spans="1:4" ht="36.75" customHeight="1">
      <c r="A1422" s="413"/>
      <c r="B1422" s="619" t="s">
        <v>2207</v>
      </c>
      <c r="C1422" s="620"/>
      <c r="D1422" s="621" t="s">
        <v>2283</v>
      </c>
    </row>
    <row r="1423" spans="1:4" ht="36.75" customHeight="1">
      <c r="A1423" s="413"/>
      <c r="B1423" s="619" t="s">
        <v>2832</v>
      </c>
      <c r="C1423" s="620"/>
      <c r="D1423" s="621" t="s">
        <v>2283</v>
      </c>
    </row>
    <row r="1424" spans="1:4" ht="36.75" customHeight="1">
      <c r="A1424" s="413"/>
      <c r="B1424" s="619" t="s">
        <v>677</v>
      </c>
      <c r="C1424" s="620"/>
      <c r="D1424" s="621" t="s">
        <v>2283</v>
      </c>
    </row>
    <row r="1425" spans="1:4" ht="36.75" customHeight="1">
      <c r="A1425" s="413"/>
      <c r="B1425" s="619" t="s">
        <v>679</v>
      </c>
      <c r="C1425" s="620"/>
      <c r="D1425" s="621" t="s">
        <v>2283</v>
      </c>
    </row>
    <row r="1426" spans="1:4" ht="36.75" customHeight="1">
      <c r="A1426" s="413"/>
      <c r="B1426" s="619" t="s">
        <v>600</v>
      </c>
      <c r="C1426" s="620">
        <f>Data!L1795</f>
        <v>0</v>
      </c>
      <c r="D1426" s="621" t="s">
        <v>1398</v>
      </c>
    </row>
    <row r="1427" spans="1:4" ht="36.75" customHeight="1">
      <c r="A1427" s="413"/>
      <c r="B1427" s="619" t="s">
        <v>2463</v>
      </c>
      <c r="C1427" s="620">
        <f>Data!K2436</f>
        <v>1486.74</v>
      </c>
      <c r="D1427" s="621" t="s">
        <v>2283</v>
      </c>
    </row>
    <row r="1428" spans="1:4" ht="36.75" customHeight="1">
      <c r="A1428" s="413"/>
      <c r="B1428" s="619" t="s">
        <v>601</v>
      </c>
      <c r="C1428" s="620">
        <f>Data!R1231</f>
        <v>1490.92</v>
      </c>
      <c r="D1428" s="621" t="s">
        <v>2283</v>
      </c>
    </row>
    <row r="1429" spans="1:4" ht="36.75" customHeight="1">
      <c r="A1429" s="413"/>
      <c r="B1429" s="619" t="s">
        <v>5455</v>
      </c>
      <c r="C1429" s="620">
        <f>Data!R1273</f>
        <v>1260.99</v>
      </c>
      <c r="D1429" s="621" t="s">
        <v>2283</v>
      </c>
    </row>
    <row r="1430" spans="1:4" ht="36.75" customHeight="1">
      <c r="A1430" s="413"/>
      <c r="B1430" s="619" t="s">
        <v>1169</v>
      </c>
      <c r="C1430" s="620">
        <f>Data!R2443</f>
        <v>1661.04</v>
      </c>
      <c r="D1430" s="621" t="s">
        <v>2283</v>
      </c>
    </row>
    <row r="1431" spans="1:4" ht="36.75" customHeight="1">
      <c r="A1431" s="413"/>
      <c r="B1431" s="619" t="s">
        <v>3076</v>
      </c>
      <c r="C1431" s="620">
        <f>Data!AD1258</f>
        <v>1632.69</v>
      </c>
      <c r="D1431" s="621" t="s">
        <v>2283</v>
      </c>
    </row>
    <row r="1432" spans="1:4" ht="36.75" customHeight="1">
      <c r="A1432" s="413"/>
      <c r="B1432" s="413" t="s">
        <v>2204</v>
      </c>
      <c r="C1432" s="620">
        <f>Data!K1443</f>
        <v>281.47000000000003</v>
      </c>
      <c r="D1432" s="621" t="s">
        <v>2283</v>
      </c>
    </row>
    <row r="1433" spans="1:4" ht="36.75" customHeight="1">
      <c r="A1433" s="413"/>
      <c r="B1433" s="413" t="s">
        <v>2205</v>
      </c>
      <c r="C1433" s="620">
        <f>5000*8.2</f>
        <v>41000</v>
      </c>
      <c r="D1433" s="621" t="s">
        <v>1398</v>
      </c>
    </row>
    <row r="1434" spans="1:4" ht="36.75" customHeight="1">
      <c r="A1434" s="413"/>
      <c r="B1434" s="413" t="str">
        <f>Data!O2627</f>
        <v>T.W DOOR SHUTTER TWO LEAVES(1200 X 2100 mm ) with Brass Fittings</v>
      </c>
      <c r="C1434" s="620">
        <f>Data!R2655</f>
        <v>7153.15</v>
      </c>
      <c r="D1434" s="621" t="s">
        <v>2283</v>
      </c>
    </row>
    <row r="1435" spans="1:4" ht="36.75" customHeight="1">
      <c r="A1435" s="413"/>
      <c r="B1435" s="413" t="s">
        <v>1741</v>
      </c>
      <c r="C1435" s="620">
        <f>Data!R1125</f>
        <v>5284.06</v>
      </c>
      <c r="D1435" s="621" t="s">
        <v>2283</v>
      </c>
    </row>
    <row r="1436" spans="1:4" ht="36.75" customHeight="1">
      <c r="A1436" s="413"/>
      <c r="B1436" s="413" t="s">
        <v>3317</v>
      </c>
      <c r="C1436" s="620">
        <f>Data!R3205</f>
        <v>0</v>
      </c>
      <c r="D1436" s="621" t="s">
        <v>2283</v>
      </c>
    </row>
    <row r="1437" spans="1:4" ht="36.75" customHeight="1">
      <c r="A1437" s="413"/>
      <c r="B1437" s="413" t="s">
        <v>3318</v>
      </c>
      <c r="C1437" s="620">
        <f>Data!R3273</f>
        <v>6427.34</v>
      </c>
      <c r="D1437" s="621" t="s">
        <v>2283</v>
      </c>
    </row>
    <row r="1438" spans="1:4" ht="36.75" customHeight="1">
      <c r="A1438" s="413"/>
      <c r="B1438" s="413" t="s">
        <v>3319</v>
      </c>
      <c r="C1438" s="620" t="str">
        <f>Data!K3333</f>
        <v>============</v>
      </c>
      <c r="D1438" s="621" t="s">
        <v>2283</v>
      </c>
    </row>
    <row r="1439" spans="1:4" ht="36.75" customHeight="1">
      <c r="A1439" s="413"/>
      <c r="B1439" s="622" t="s">
        <v>6300</v>
      </c>
      <c r="C1439" s="620">
        <f>Data!R3340</f>
        <v>3804.6</v>
      </c>
      <c r="D1439" s="621" t="s">
        <v>2283</v>
      </c>
    </row>
    <row r="1440" spans="1:4" ht="36.75" customHeight="1">
      <c r="A1440" s="413"/>
      <c r="B1440" s="622" t="s">
        <v>6301</v>
      </c>
      <c r="C1440" s="620">
        <f>Data!R3453</f>
        <v>4665.28</v>
      </c>
      <c r="D1440" s="621" t="s">
        <v>2283</v>
      </c>
    </row>
    <row r="1441" spans="1:4" ht="36.75" customHeight="1">
      <c r="A1441" s="413"/>
      <c r="B1441" s="619" t="s">
        <v>3953</v>
      </c>
      <c r="C1441" s="620">
        <f>Data!K3435</f>
        <v>5266.65</v>
      </c>
      <c r="D1441" s="621" t="s">
        <v>2283</v>
      </c>
    </row>
    <row r="1442" spans="1:4" ht="36.75" customHeight="1">
      <c r="A1442" s="413"/>
      <c r="B1442" s="413" t="s">
        <v>3320</v>
      </c>
      <c r="C1442" s="620">
        <f>Data!R3375</f>
        <v>4323.9799999999996</v>
      </c>
      <c r="D1442" s="621" t="s">
        <v>2283</v>
      </c>
    </row>
    <row r="1443" spans="1:4" ht="36.75" customHeight="1">
      <c r="A1443" s="413"/>
      <c r="B1443" s="413" t="s">
        <v>3321</v>
      </c>
      <c r="C1443" s="620" t="str">
        <f>Data!R3410</f>
        <v>=</v>
      </c>
      <c r="D1443" s="621" t="s">
        <v>2283</v>
      </c>
    </row>
    <row r="1444" spans="1:4" ht="36.75" customHeight="1">
      <c r="A1444" s="413"/>
      <c r="B1444" s="413" t="s">
        <v>3322</v>
      </c>
      <c r="C1444" s="620">
        <f>Data!R3307</f>
        <v>0</v>
      </c>
      <c r="D1444" s="621" t="s">
        <v>2283</v>
      </c>
    </row>
    <row r="1445" spans="1:4" ht="36.75" customHeight="1">
      <c r="A1445" s="413"/>
      <c r="B1445" s="413" t="s">
        <v>3323</v>
      </c>
      <c r="C1445" s="620">
        <f>Data!R3341</f>
        <v>0</v>
      </c>
      <c r="D1445" s="621" t="s">
        <v>2283</v>
      </c>
    </row>
    <row r="1446" spans="1:4" ht="36.75" customHeight="1">
      <c r="A1446" s="413"/>
      <c r="B1446" s="413" t="s">
        <v>3068</v>
      </c>
      <c r="C1446" s="620">
        <f>Elec.Data!K650</f>
        <v>1345.34</v>
      </c>
      <c r="D1446" s="621" t="s">
        <v>1398</v>
      </c>
    </row>
    <row r="1447" spans="1:4" ht="36.75" customHeight="1">
      <c r="A1447" s="413"/>
      <c r="B1447" s="413" t="s">
        <v>3069</v>
      </c>
      <c r="C1447" s="620">
        <f>Elec.Data!K716</f>
        <v>165</v>
      </c>
      <c r="D1447" s="621" t="s">
        <v>826</v>
      </c>
    </row>
    <row r="1448" spans="1:4" ht="36.75" customHeight="1">
      <c r="A1448" s="413"/>
      <c r="B1448" s="623" t="s">
        <v>2496</v>
      </c>
      <c r="C1448" s="620">
        <f>Elec.Data!K637</f>
        <v>3091.3</v>
      </c>
      <c r="D1448" s="621" t="s">
        <v>1398</v>
      </c>
    </row>
    <row r="1449" spans="1:4" ht="36.75" customHeight="1">
      <c r="A1449" s="413"/>
      <c r="B1449" s="413" t="s">
        <v>3072</v>
      </c>
      <c r="C1449" s="620">
        <f>Data!K2983</f>
        <v>0</v>
      </c>
      <c r="D1449" s="621" t="s">
        <v>2283</v>
      </c>
    </row>
    <row r="1450" spans="1:4" ht="36.75" customHeight="1">
      <c r="A1450" s="413"/>
      <c r="B1450" s="413" t="s">
        <v>3070</v>
      </c>
      <c r="C1450" s="620">
        <f>Data!K2846</f>
        <v>2592.73</v>
      </c>
      <c r="D1450" s="621" t="s">
        <v>2283</v>
      </c>
    </row>
    <row r="1451" spans="1:4" ht="36.75" customHeight="1">
      <c r="A1451" s="413"/>
      <c r="B1451" s="413" t="s">
        <v>3071</v>
      </c>
      <c r="C1451" s="620">
        <f>Data!R2989</f>
        <v>2513.36</v>
      </c>
      <c r="D1451" s="621" t="s">
        <v>2283</v>
      </c>
    </row>
    <row r="1452" spans="1:4" ht="36.75" customHeight="1">
      <c r="A1452" s="413"/>
      <c r="B1452" s="413" t="s">
        <v>3073</v>
      </c>
      <c r="C1452" s="620">
        <f>Data!K3086</f>
        <v>2641.13</v>
      </c>
      <c r="D1452" s="621" t="s">
        <v>2283</v>
      </c>
    </row>
    <row r="1453" spans="1:4" ht="36.75" customHeight="1">
      <c r="A1453" s="413"/>
      <c r="B1453" s="413" t="s">
        <v>3074</v>
      </c>
      <c r="C1453" s="620">
        <f>Data!K3067</f>
        <v>2773.63</v>
      </c>
      <c r="D1453" s="621" t="s">
        <v>2283</v>
      </c>
    </row>
    <row r="1454" spans="1:4" ht="36.75" customHeight="1">
      <c r="A1454" s="413"/>
      <c r="B1454" s="413" t="s">
        <v>3075</v>
      </c>
      <c r="C1454" s="620">
        <f>Data!R3074</f>
        <v>2582.0100000000002</v>
      </c>
      <c r="D1454" s="621" t="s">
        <v>2283</v>
      </c>
    </row>
    <row r="1455" spans="1:4" ht="36.75" customHeight="1">
      <c r="A1455" s="413"/>
      <c r="B1455" s="618" t="s">
        <v>565</v>
      </c>
      <c r="C1455" s="620">
        <f>Data!K2878</f>
        <v>1921.32</v>
      </c>
      <c r="D1455" s="621" t="s">
        <v>2283</v>
      </c>
    </row>
    <row r="1456" spans="1:4" ht="36.75" customHeight="1">
      <c r="A1456" s="413"/>
      <c r="B1456" s="413" t="s">
        <v>2839</v>
      </c>
      <c r="C1456" s="620">
        <f>Data!K1155</f>
        <v>123.92</v>
      </c>
      <c r="D1456" s="621"/>
    </row>
    <row r="1457" spans="1:4" ht="36.75" customHeight="1">
      <c r="A1457" s="413"/>
      <c r="B1457" s="413" t="s">
        <v>2840</v>
      </c>
      <c r="C1457" s="620">
        <f>Data!K1168</f>
        <v>194.22</v>
      </c>
      <c r="D1457" s="621"/>
    </row>
    <row r="1458" spans="1:4" ht="36.75" customHeight="1">
      <c r="A1458" s="413"/>
      <c r="B1458" s="413" t="s">
        <v>1675</v>
      </c>
      <c r="C1458" s="620">
        <f>Data!K2449</f>
        <v>771.94</v>
      </c>
      <c r="D1458" s="621"/>
    </row>
    <row r="1459" spans="1:4" ht="36.75" customHeight="1">
      <c r="A1459" s="413"/>
      <c r="B1459" s="413" t="s">
        <v>1676</v>
      </c>
      <c r="C1459" s="620">
        <f>Data!K2799</f>
        <v>1690.83</v>
      </c>
      <c r="D1459" s="621"/>
    </row>
    <row r="1460" spans="1:4" ht="36.75" customHeight="1">
      <c r="A1460" s="413"/>
      <c r="B1460" s="618" t="s">
        <v>6302</v>
      </c>
      <c r="C1460" s="620">
        <f>Elec.Data!K180</f>
        <v>2743.5</v>
      </c>
      <c r="D1460" s="621"/>
    </row>
    <row r="1461" spans="1:4" ht="36.75" customHeight="1">
      <c r="A1461" s="413"/>
      <c r="B1461" s="618" t="s">
        <v>6303</v>
      </c>
      <c r="C1461" s="620">
        <f>Elec.Data!K192</f>
        <v>2743.5</v>
      </c>
      <c r="D1461" s="621"/>
    </row>
    <row r="1462" spans="1:4" ht="36.75" customHeight="1">
      <c r="A1462" s="413"/>
      <c r="B1462" s="618" t="s">
        <v>6304</v>
      </c>
      <c r="C1462" s="620">
        <f>Elec.Data!K213</f>
        <v>2815.5</v>
      </c>
      <c r="D1462" s="621"/>
    </row>
    <row r="1463" spans="1:4" ht="36.75" customHeight="1">
      <c r="A1463" s="413"/>
      <c r="B1463" s="618" t="s">
        <v>6305</v>
      </c>
      <c r="C1463" s="620">
        <f>Elec.Data!K232</f>
        <v>5167</v>
      </c>
      <c r="D1463" s="621"/>
    </row>
    <row r="1464" spans="1:4" ht="36.75" customHeight="1">
      <c r="A1464" s="413"/>
      <c r="B1464" s="618" t="s">
        <v>2396</v>
      </c>
      <c r="C1464" s="620">
        <f>Elec.Data!K261</f>
        <v>232.9</v>
      </c>
      <c r="D1464" s="621"/>
    </row>
    <row r="1465" spans="1:4" ht="36.75" customHeight="1">
      <c r="A1465" s="413"/>
      <c r="B1465" s="618" t="s">
        <v>2946</v>
      </c>
      <c r="C1465" s="620">
        <f>Elec.Data!K274</f>
        <v>272.89999999999998</v>
      </c>
      <c r="D1465" s="621"/>
    </row>
    <row r="1466" spans="1:4" ht="36.75" customHeight="1">
      <c r="A1466" s="413"/>
      <c r="B1466" s="618" t="s">
        <v>2336</v>
      </c>
      <c r="C1466" s="620">
        <f>Elec.Data!K288</f>
        <v>407.08</v>
      </c>
      <c r="D1466" s="621"/>
    </row>
    <row r="1467" spans="1:4" ht="36.75" customHeight="1">
      <c r="A1467" s="413"/>
      <c r="B1467" s="618" t="s">
        <v>2757</v>
      </c>
      <c r="C1467" s="620">
        <f>Elec.Data!K342</f>
        <v>1372.85</v>
      </c>
      <c r="D1467" s="621"/>
    </row>
    <row r="1468" spans="1:4" ht="36.75" customHeight="1">
      <c r="A1468" s="413"/>
      <c r="B1468" s="618" t="s">
        <v>2406</v>
      </c>
      <c r="C1468" s="620">
        <f>Elec.Data!K353</f>
        <v>1062.8499999999999</v>
      </c>
      <c r="D1468" s="621"/>
    </row>
    <row r="1469" spans="1:4" ht="36.75" customHeight="1">
      <c r="A1469" s="413"/>
      <c r="B1469" s="618" t="s">
        <v>3415</v>
      </c>
      <c r="C1469" s="620">
        <f>Elec.Data!K364</f>
        <v>1768.94</v>
      </c>
      <c r="D1469" s="621"/>
    </row>
    <row r="1470" spans="1:4" ht="36.75" customHeight="1">
      <c r="A1470" s="413"/>
      <c r="B1470" s="618" t="s">
        <v>2290</v>
      </c>
      <c r="C1470" s="620">
        <f>Elec.Data!K379</f>
        <v>2195.34</v>
      </c>
      <c r="D1470" s="621"/>
    </row>
    <row r="1471" spans="1:4" ht="36.75" customHeight="1">
      <c r="A1471" s="413"/>
      <c r="B1471" s="618" t="s">
        <v>2582</v>
      </c>
      <c r="C1471" s="620">
        <f>Elec.Data!K402</f>
        <v>4248.34</v>
      </c>
      <c r="D1471" s="621"/>
    </row>
    <row r="1472" spans="1:4" ht="36.75" customHeight="1">
      <c r="A1472" s="413"/>
      <c r="B1472" s="618" t="s">
        <v>3123</v>
      </c>
      <c r="C1472" s="620">
        <f>Elec.Data!K390</f>
        <v>3466.34</v>
      </c>
      <c r="D1472" s="621"/>
    </row>
    <row r="1473" spans="1:4" ht="36.75" customHeight="1">
      <c r="A1473" s="413"/>
      <c r="B1473" s="618" t="s">
        <v>3338</v>
      </c>
      <c r="C1473" s="620">
        <f>Elec.Data!K414</f>
        <v>0</v>
      </c>
      <c r="D1473" s="621"/>
    </row>
    <row r="1474" spans="1:4" ht="36.75" customHeight="1">
      <c r="A1474" s="413"/>
      <c r="B1474" s="618" t="s">
        <v>3357</v>
      </c>
      <c r="C1474" s="620">
        <f>Elec.Data!K432</f>
        <v>0</v>
      </c>
      <c r="D1474" s="621"/>
    </row>
    <row r="1475" spans="1:4" ht="36.75" customHeight="1">
      <c r="A1475" s="413"/>
      <c r="B1475" s="618" t="s">
        <v>2292</v>
      </c>
      <c r="C1475" s="620">
        <f>Elec.Data!K503</f>
        <v>0</v>
      </c>
      <c r="D1475" s="621"/>
    </row>
    <row r="1476" spans="1:4" ht="36.75" customHeight="1">
      <c r="A1476" s="413"/>
      <c r="B1476" s="618" t="s">
        <v>2293</v>
      </c>
      <c r="C1476" s="620">
        <f>Elec.Data!K518</f>
        <v>0</v>
      </c>
      <c r="D1476" s="621"/>
    </row>
    <row r="1477" spans="1:4" ht="36.75" customHeight="1">
      <c r="A1477" s="413"/>
      <c r="B1477" s="618" t="s">
        <v>2294</v>
      </c>
      <c r="C1477" s="620">
        <f>Elec.Data!K536</f>
        <v>0</v>
      </c>
      <c r="D1477" s="621"/>
    </row>
    <row r="1478" spans="1:4" ht="36.75" customHeight="1">
      <c r="A1478" s="413"/>
      <c r="B1478" s="618" t="s">
        <v>2295</v>
      </c>
      <c r="C1478" s="620">
        <f>Elec.Data!K549</f>
        <v>0</v>
      </c>
      <c r="D1478" s="621"/>
    </row>
    <row r="1479" spans="1:4" ht="36.75" customHeight="1">
      <c r="A1479" s="413"/>
      <c r="B1479" s="618" t="s">
        <v>2414</v>
      </c>
      <c r="C1479" s="620">
        <f>Elec.Data!K554</f>
        <v>0</v>
      </c>
      <c r="D1479" s="621"/>
    </row>
    <row r="1480" spans="1:4" ht="36.75" customHeight="1">
      <c r="A1480" s="413"/>
      <c r="B1480" s="618" t="s">
        <v>2402</v>
      </c>
      <c r="C1480" s="620">
        <f>Elec.Data!K559</f>
        <v>0</v>
      </c>
      <c r="D1480" s="621"/>
    </row>
    <row r="1481" spans="1:4" ht="36.75" customHeight="1">
      <c r="A1481" s="413"/>
      <c r="B1481" s="618" t="s">
        <v>6306</v>
      </c>
      <c r="C1481" s="620">
        <f>Elec.Data!K671</f>
        <v>0</v>
      </c>
      <c r="D1481" s="621"/>
    </row>
    <row r="1482" spans="1:4" ht="36.75" customHeight="1">
      <c r="A1482" s="413"/>
      <c r="B1482" s="618" t="s">
        <v>6307</v>
      </c>
      <c r="C1482" s="620">
        <f>Elec.Data!K709</f>
        <v>0</v>
      </c>
      <c r="D1482" s="621"/>
    </row>
    <row r="1483" spans="1:4" ht="36.75" customHeight="1">
      <c r="A1483" s="413"/>
      <c r="B1483" s="618" t="s">
        <v>2296</v>
      </c>
      <c r="C1483" s="620">
        <f>Elec.Data!K716</f>
        <v>165</v>
      </c>
      <c r="D1483" s="621"/>
    </row>
    <row r="1484" spans="1:4" ht="36.75" customHeight="1">
      <c r="A1484" s="413"/>
      <c r="B1484" s="618" t="s">
        <v>2309</v>
      </c>
      <c r="C1484" s="620">
        <f>Elec.Data!K737</f>
        <v>0</v>
      </c>
      <c r="D1484" s="621"/>
    </row>
    <row r="1485" spans="1:4" ht="36.75" customHeight="1">
      <c r="A1485" s="413"/>
      <c r="B1485" s="618" t="s">
        <v>3306</v>
      </c>
      <c r="C1485" s="620">
        <f>Elec.Data!K754</f>
        <v>0</v>
      </c>
      <c r="D1485" s="621"/>
    </row>
    <row r="1486" spans="1:4" ht="36.75" customHeight="1">
      <c r="A1486" s="413"/>
      <c r="B1486" s="618" t="s">
        <v>2811</v>
      </c>
      <c r="C1486" s="620">
        <f>Elec.Data!K789</f>
        <v>0</v>
      </c>
      <c r="D1486" s="621"/>
    </row>
    <row r="1487" spans="1:4" ht="36.75" customHeight="1">
      <c r="A1487" s="413"/>
      <c r="B1487" s="618" t="s">
        <v>3080</v>
      </c>
      <c r="C1487" s="620">
        <f>Elec.Data!K820</f>
        <v>0</v>
      </c>
      <c r="D1487" s="621"/>
    </row>
    <row r="1488" spans="1:4" ht="36.75" customHeight="1">
      <c r="A1488" s="413"/>
      <c r="B1488" s="618" t="s">
        <v>1108</v>
      </c>
      <c r="C1488" s="620">
        <f>Elec.Data!K846</f>
        <v>281.56</v>
      </c>
      <c r="D1488" s="621"/>
    </row>
    <row r="1489" spans="1:4" ht="36.75" customHeight="1">
      <c r="A1489" s="413"/>
      <c r="B1489" s="618" t="s">
        <v>2297</v>
      </c>
      <c r="C1489" s="620">
        <f>Elec.Data!K864</f>
        <v>99.56</v>
      </c>
      <c r="D1489" s="621"/>
    </row>
    <row r="1490" spans="1:4" ht="36.75" customHeight="1">
      <c r="A1490" s="413"/>
      <c r="B1490" s="618" t="s">
        <v>2627</v>
      </c>
      <c r="C1490" s="620">
        <f>Elec.Data!K871</f>
        <v>54.47</v>
      </c>
      <c r="D1490" s="621"/>
    </row>
    <row r="1491" spans="1:4" ht="36.75" customHeight="1">
      <c r="A1491" s="413"/>
      <c r="B1491" s="618" t="s">
        <v>2298</v>
      </c>
      <c r="C1491" s="620">
        <f>Elec.Data!K896</f>
        <v>7349.5</v>
      </c>
      <c r="D1491" s="621"/>
    </row>
    <row r="1492" spans="1:4" ht="36.75" customHeight="1">
      <c r="A1492" s="413"/>
      <c r="B1492" s="618" t="s">
        <v>2431</v>
      </c>
      <c r="C1492" s="620">
        <f>Elec.Data!K943</f>
        <v>623.42999999999995</v>
      </c>
      <c r="D1492" s="621"/>
    </row>
    <row r="1493" spans="1:4" ht="36.75" customHeight="1">
      <c r="A1493" s="413"/>
      <c r="B1493" s="624" t="s">
        <v>6308</v>
      </c>
      <c r="C1493" s="620">
        <f>Elec.Data!K993</f>
        <v>921.2</v>
      </c>
      <c r="D1493" s="621"/>
    </row>
    <row r="1494" spans="1:4" ht="36.75" customHeight="1">
      <c r="A1494" s="413"/>
      <c r="B1494" s="618" t="s">
        <v>6309</v>
      </c>
      <c r="C1494" s="620">
        <f>Elec.Data!K1019</f>
        <v>923.2</v>
      </c>
      <c r="D1494" s="621"/>
    </row>
    <row r="1495" spans="1:4" ht="36.75" customHeight="1">
      <c r="A1495" s="413"/>
      <c r="B1495" s="624" t="s">
        <v>6310</v>
      </c>
      <c r="C1495" s="620">
        <f>Elec.Data!K1035</f>
        <v>961.2</v>
      </c>
      <c r="D1495" s="621"/>
    </row>
    <row r="1496" spans="1:4" ht="36.75" customHeight="1">
      <c r="A1496" s="413"/>
      <c r="B1496" s="624" t="s">
        <v>6311</v>
      </c>
      <c r="C1496" s="620">
        <f>Elec.Data!K1057</f>
        <v>1008.2</v>
      </c>
      <c r="D1496" s="621"/>
    </row>
    <row r="1497" spans="1:4" ht="36.75" customHeight="1">
      <c r="A1497" s="413"/>
      <c r="B1497" s="624" t="s">
        <v>6312</v>
      </c>
      <c r="C1497" s="620">
        <f>Elec.Data!K1077</f>
        <v>2206.1</v>
      </c>
      <c r="D1497" s="621"/>
    </row>
    <row r="1498" spans="1:4" ht="36.75" customHeight="1">
      <c r="A1498" s="413"/>
      <c r="B1498" s="624" t="s">
        <v>6313</v>
      </c>
      <c r="C1498" s="620">
        <f>Elec.Data!K1096</f>
        <v>707.47</v>
      </c>
      <c r="D1498" s="621"/>
    </row>
    <row r="1499" spans="1:4" ht="36.75" customHeight="1">
      <c r="A1499" s="413"/>
      <c r="B1499" s="624" t="s">
        <v>6314</v>
      </c>
      <c r="C1499" s="620">
        <f>Elec.Data!K1120</f>
        <v>131.16</v>
      </c>
      <c r="D1499" s="621"/>
    </row>
    <row r="1500" spans="1:4" ht="36.75" customHeight="1">
      <c r="A1500" s="413"/>
      <c r="B1500" s="618" t="s">
        <v>6315</v>
      </c>
      <c r="C1500" s="620">
        <f>'Print Data (2)'!F432</f>
        <v>149.56</v>
      </c>
      <c r="D1500" s="621"/>
    </row>
    <row r="1501" spans="1:4" ht="36.75" customHeight="1">
      <c r="A1501" s="413"/>
      <c r="B1501" s="618" t="s">
        <v>2883</v>
      </c>
      <c r="C1501" s="620">
        <f>Data!R385</f>
        <v>23.04</v>
      </c>
      <c r="D1501" s="621"/>
    </row>
    <row r="1502" spans="1:4" ht="36.75" customHeight="1">
      <c r="A1502" s="413"/>
      <c r="B1502" s="618" t="s">
        <v>553</v>
      </c>
      <c r="C1502" s="620">
        <f>C1501+C1504</f>
        <v>23.04</v>
      </c>
      <c r="D1502" s="621"/>
    </row>
    <row r="1503" spans="1:4" ht="36.75" customHeight="1">
      <c r="A1503" s="413"/>
      <c r="B1503" s="618" t="s">
        <v>6318</v>
      </c>
      <c r="C1503" s="620">
        <f>Data!R399</f>
        <v>33.549999999999997</v>
      </c>
      <c r="D1503" s="621"/>
    </row>
    <row r="1504" spans="1:4" ht="36.75" customHeight="1">
      <c r="A1504" s="413"/>
      <c r="B1504" s="618" t="s">
        <v>2884</v>
      </c>
      <c r="C1504" s="620">
        <f>Data!I3173</f>
        <v>0</v>
      </c>
      <c r="D1504" s="621"/>
    </row>
    <row r="1505" spans="1:4" ht="36.75" customHeight="1">
      <c r="A1505" s="413"/>
      <c r="B1505" s="618" t="s">
        <v>2885</v>
      </c>
      <c r="C1505" s="620">
        <f>Data!I3199</f>
        <v>0</v>
      </c>
      <c r="D1505" s="621"/>
    </row>
    <row r="1506" spans="1:4" ht="36.75" customHeight="1">
      <c r="A1506" s="413"/>
      <c r="B1506" s="618" t="s">
        <v>2886</v>
      </c>
      <c r="C1506" s="620">
        <f>Data!I3213</f>
        <v>0</v>
      </c>
      <c r="D1506" s="621"/>
    </row>
    <row r="1507" spans="1:4" ht="36.75" customHeight="1">
      <c r="A1507" s="413"/>
      <c r="B1507" s="618" t="s">
        <v>2880</v>
      </c>
      <c r="C1507" s="620">
        <f>Data!K3189</f>
        <v>66.69</v>
      </c>
      <c r="D1507" s="621"/>
    </row>
    <row r="1508" spans="1:4" ht="36.75" customHeight="1">
      <c r="A1508" s="413"/>
      <c r="B1508" s="618" t="s">
        <v>2881</v>
      </c>
      <c r="C1508" s="620">
        <f>Data!K3176</f>
        <v>131.4</v>
      </c>
      <c r="D1508" s="621"/>
    </row>
    <row r="1509" spans="1:4" ht="36.75" customHeight="1">
      <c r="A1509" s="413"/>
      <c r="B1509" s="413" t="s">
        <v>6321</v>
      </c>
      <c r="C1509" s="620">
        <f>Data!K3203</f>
        <v>81.33</v>
      </c>
      <c r="D1509" s="621"/>
    </row>
    <row r="1510" spans="1:4" ht="36.75" customHeight="1">
      <c r="A1510" s="413"/>
      <c r="B1510" s="413" t="s">
        <v>6359</v>
      </c>
      <c r="C1510" s="620">
        <f>Data!K3248</f>
        <v>130.88</v>
      </c>
      <c r="D1510" s="621"/>
    </row>
    <row r="1511" spans="1:4" ht="36.75" customHeight="1">
      <c r="A1511" s="413"/>
      <c r="B1511" s="413" t="s">
        <v>6320</v>
      </c>
      <c r="C1511" s="620">
        <f>Data!K3217</f>
        <v>87.91</v>
      </c>
      <c r="D1511" s="621"/>
    </row>
    <row r="1512" spans="1:4" ht="36.75" customHeight="1">
      <c r="A1512" s="413"/>
      <c r="B1512" s="413" t="s">
        <v>6361</v>
      </c>
      <c r="C1512" s="620">
        <f>Data!K3232</f>
        <v>149.34</v>
      </c>
      <c r="D1512" s="621"/>
    </row>
    <row r="1513" spans="1:4" ht="36.75" customHeight="1">
      <c r="A1513" s="413"/>
      <c r="B1513" s="413" t="s">
        <v>2882</v>
      </c>
      <c r="C1513" s="620">
        <f>Data!K3276</f>
        <v>86.17</v>
      </c>
      <c r="D1513" s="621"/>
    </row>
    <row r="1514" spans="1:4" ht="36.75" customHeight="1">
      <c r="A1514" s="413"/>
      <c r="B1514" s="413" t="s">
        <v>6319</v>
      </c>
      <c r="C1514" s="620">
        <f>Data!K3359</f>
        <v>161.37</v>
      </c>
      <c r="D1514" s="621"/>
    </row>
    <row r="1515" spans="1:4" ht="36.75" customHeight="1">
      <c r="A1515" s="413"/>
      <c r="B1515" s="413" t="s">
        <v>5457</v>
      </c>
      <c r="C1515" s="620">
        <f>Data!K3372</f>
        <v>79.599999999999994</v>
      </c>
      <c r="D1515" s="621"/>
    </row>
    <row r="1516" spans="1:4" ht="36.75" customHeight="1">
      <c r="A1516" s="625"/>
      <c r="B1516" s="413"/>
      <c r="C1516" s="620"/>
      <c r="D1516" s="621"/>
    </row>
    <row r="1517" spans="1:4" ht="36.75" customHeight="1">
      <c r="A1517" s="625"/>
      <c r="B1517" s="413"/>
      <c r="C1517" s="620"/>
      <c r="D1517" s="621"/>
    </row>
    <row r="1518" spans="1:4" ht="36.75" customHeight="1">
      <c r="A1518" s="625"/>
      <c r="B1518" s="413" t="s">
        <v>5459</v>
      </c>
      <c r="C1518" s="620"/>
      <c r="D1518" s="621"/>
    </row>
    <row r="1519" spans="1:4" ht="36.75" customHeight="1">
      <c r="A1519" s="625"/>
      <c r="B1519" s="413"/>
      <c r="C1519" s="620"/>
      <c r="D1519" s="621"/>
    </row>
    <row r="1520" spans="1:4" ht="36.75" customHeight="1">
      <c r="A1520" s="625"/>
      <c r="B1520" s="413"/>
      <c r="C1520" s="620"/>
      <c r="D1520" s="621"/>
    </row>
    <row r="1521" spans="1:4" ht="36.75" customHeight="1">
      <c r="A1521" s="625"/>
      <c r="B1521" s="413"/>
      <c r="C1521" s="620"/>
      <c r="D1521" s="621"/>
    </row>
    <row r="1522" spans="1:4" ht="36.75" customHeight="1">
      <c r="A1522" s="625"/>
      <c r="B1522" s="413"/>
      <c r="C1522" s="620"/>
      <c r="D1522" s="621"/>
    </row>
    <row r="1523" spans="1:4" ht="36.75" customHeight="1">
      <c r="A1523" s="625"/>
      <c r="B1523" s="413"/>
      <c r="C1523" s="620"/>
      <c r="D1523" s="621"/>
    </row>
    <row r="1524" spans="1:4" ht="36.75" customHeight="1">
      <c r="A1524" s="413"/>
      <c r="B1524" s="413"/>
      <c r="C1524" s="620"/>
      <c r="D1524" s="621"/>
    </row>
    <row r="1525" spans="1:4" ht="36.75" customHeight="1">
      <c r="A1525" s="413"/>
      <c r="B1525" s="413"/>
      <c r="C1525" s="620"/>
      <c r="D1525" s="621"/>
    </row>
    <row r="1526" spans="1:4" ht="36.75" customHeight="1">
      <c r="A1526" s="413"/>
      <c r="B1526" s="413"/>
      <c r="C1526" s="620"/>
      <c r="D1526" s="621"/>
    </row>
    <row r="1527" spans="1:4" ht="36.75" customHeight="1">
      <c r="A1527" s="413"/>
      <c r="B1527" s="413"/>
      <c r="C1527" s="620"/>
      <c r="D1527" s="621"/>
    </row>
    <row r="1528" spans="1:4" ht="36.75" customHeight="1">
      <c r="A1528" s="413"/>
      <c r="B1528" s="413"/>
      <c r="C1528" s="620"/>
      <c r="D1528" s="621"/>
    </row>
    <row r="1529" spans="1:4" ht="36.75" customHeight="1">
      <c r="A1529" s="413"/>
      <c r="B1529" s="413"/>
      <c r="C1529" s="620"/>
      <c r="D1529" s="621"/>
    </row>
    <row r="1530" spans="1:4" ht="36.75" customHeight="1">
      <c r="A1530" s="413"/>
      <c r="B1530" s="413"/>
      <c r="C1530" s="620"/>
      <c r="D1530" s="621"/>
    </row>
    <row r="1531" spans="1:4" ht="36.75" customHeight="1">
      <c r="A1531" s="413"/>
      <c r="B1531" s="413"/>
      <c r="C1531" s="620"/>
      <c r="D1531" s="621"/>
    </row>
    <row r="1532" spans="1:4" ht="36.75" customHeight="1">
      <c r="A1532" s="413"/>
      <c r="B1532" s="413"/>
      <c r="C1532" s="620"/>
      <c r="D1532" s="621"/>
    </row>
    <row r="1533" spans="1:4" ht="36.75" customHeight="1">
      <c r="A1533" s="413"/>
      <c r="B1533" s="413"/>
      <c r="C1533" s="620"/>
      <c r="D1533" s="621"/>
    </row>
    <row r="1534" spans="1:4" ht="36.75" customHeight="1">
      <c r="A1534" s="413"/>
      <c r="B1534" s="413"/>
      <c r="C1534" s="620"/>
      <c r="D1534" s="621"/>
    </row>
    <row r="1535" spans="1:4" ht="36.75" customHeight="1">
      <c r="A1535" s="413"/>
      <c r="B1535" s="413"/>
      <c r="C1535" s="620"/>
      <c r="D1535" s="621"/>
    </row>
    <row r="1536" spans="1:4" ht="36.75" customHeight="1">
      <c r="A1536" s="413"/>
      <c r="B1536" s="413"/>
      <c r="C1536" s="413"/>
      <c r="D1536" s="413"/>
    </row>
    <row r="1537" spans="1:4" ht="36.75" customHeight="1">
      <c r="A1537" s="413"/>
      <c r="B1537" s="413"/>
      <c r="C1537" s="413"/>
      <c r="D1537" s="413"/>
    </row>
    <row r="1538" spans="1:4" ht="36.75" customHeight="1">
      <c r="A1538" s="413"/>
      <c r="B1538" s="413"/>
      <c r="C1538" s="413"/>
      <c r="D1538" s="413"/>
    </row>
    <row r="1539" spans="1:4" ht="36.75" customHeight="1">
      <c r="A1539" s="413"/>
      <c r="B1539" s="413"/>
      <c r="C1539" s="413"/>
      <c r="D1539" s="413"/>
    </row>
    <row r="1540" spans="1:4" ht="36.75" customHeight="1">
      <c r="A1540" s="413"/>
      <c r="B1540" s="413"/>
      <c r="C1540" s="413"/>
      <c r="D1540" s="413"/>
    </row>
    <row r="1541" spans="1:4" ht="36.75" customHeight="1">
      <c r="A1541" s="413"/>
      <c r="B1541" s="413"/>
      <c r="C1541" s="413"/>
      <c r="D1541" s="413"/>
    </row>
    <row r="1542" spans="1:4" ht="36.75" customHeight="1">
      <c r="A1542" s="413"/>
      <c r="B1542" s="413"/>
      <c r="C1542" s="413"/>
      <c r="D1542" s="413"/>
    </row>
    <row r="1543" spans="1:4" ht="36.75" customHeight="1">
      <c r="A1543" s="413"/>
      <c r="B1543" s="413"/>
      <c r="C1543" s="413"/>
      <c r="D1543" s="413"/>
    </row>
    <row r="1544" spans="1:4" ht="36.75" customHeight="1">
      <c r="A1544" s="413"/>
      <c r="B1544" s="413"/>
      <c r="C1544" s="413"/>
      <c r="D1544" s="413"/>
    </row>
    <row r="1545" spans="1:4" ht="36.75" customHeight="1">
      <c r="C1545" s="396"/>
      <c r="D1545" s="396"/>
    </row>
    <row r="1546" spans="1:4" ht="36.75" customHeight="1">
      <c r="C1546" s="396"/>
      <c r="D1546" s="396"/>
    </row>
    <row r="1547" spans="1:4" ht="36.75" customHeight="1">
      <c r="C1547" s="396"/>
      <c r="D1547" s="396"/>
    </row>
    <row r="1548" spans="1:4" ht="36.75" customHeight="1">
      <c r="C1548" s="396"/>
      <c r="D1548" s="396"/>
    </row>
    <row r="1549" spans="1:4" ht="36.75" customHeight="1">
      <c r="C1549" s="396"/>
      <c r="D1549" s="396"/>
    </row>
    <row r="1550" spans="1:4" ht="36.75" customHeight="1">
      <c r="C1550" s="396"/>
      <c r="D1550" s="396"/>
    </row>
    <row r="1551" spans="1:4" ht="36.75" customHeight="1">
      <c r="C1551" s="396"/>
      <c r="D1551" s="396"/>
    </row>
    <row r="1552" spans="1:4" ht="36.75" customHeight="1">
      <c r="C1552" s="396"/>
      <c r="D1552" s="396"/>
    </row>
    <row r="1553" spans="3:4" ht="36.75" customHeight="1">
      <c r="C1553" s="396"/>
      <c r="D1553" s="396"/>
    </row>
    <row r="1554" spans="3:4" ht="36.75" customHeight="1">
      <c r="C1554" s="396"/>
      <c r="D1554" s="396"/>
    </row>
  </sheetData>
  <autoFilter ref="A4:D501"/>
  <mergeCells count="5">
    <mergeCell ref="A1:D1"/>
    <mergeCell ref="A2:A3"/>
    <mergeCell ref="B2:B3"/>
    <mergeCell ref="C2:C3"/>
    <mergeCell ref="D2:D3"/>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26"/>
  <sheetViews>
    <sheetView view="pageBreakPreview" topLeftCell="A69" zoomScale="110" zoomScaleSheetLayoutView="110" workbookViewId="0">
      <selection activeCell="F79" sqref="F79"/>
    </sheetView>
  </sheetViews>
  <sheetFormatPr defaultRowHeight="12.75"/>
  <cols>
    <col min="1" max="1" width="5.88671875" style="738" customWidth="1"/>
    <col min="2" max="2" width="7.33203125" style="700" customWidth="1"/>
    <col min="3" max="3" width="45.44140625" style="695" customWidth="1"/>
    <col min="4" max="4" width="6.109375" style="708" customWidth="1"/>
    <col min="5" max="5" width="4.6640625" style="709" customWidth="1"/>
    <col min="6" max="6" width="13.21875" style="700" customWidth="1"/>
    <col min="7" max="7" width="10" style="682" customWidth="1"/>
    <col min="8" max="8" width="11.109375" style="682" customWidth="1"/>
    <col min="9" max="9" width="8.88671875" style="682"/>
    <col min="10" max="10" width="9.5546875" style="682" bestFit="1" customWidth="1"/>
    <col min="11" max="11" width="8.88671875" style="682"/>
    <col min="12" max="12" width="12.6640625" style="682" customWidth="1"/>
    <col min="13" max="13" width="8.88671875" style="682"/>
    <col min="14" max="15" width="10" style="682" customWidth="1"/>
    <col min="16" max="16" width="12.5546875" style="682" customWidth="1"/>
    <col min="17" max="18" width="8.88671875" style="682"/>
    <col min="19" max="19" width="9.77734375" style="682" customWidth="1"/>
    <col min="20" max="256" width="8.88671875" style="682"/>
    <col min="257" max="257" width="5.88671875" style="682" customWidth="1"/>
    <col min="258" max="258" width="7.33203125" style="682" customWidth="1"/>
    <col min="259" max="259" width="39.109375" style="682" customWidth="1"/>
    <col min="260" max="260" width="6.109375" style="682" customWidth="1"/>
    <col min="261" max="261" width="4.6640625" style="682" customWidth="1"/>
    <col min="262" max="262" width="11.109375" style="682" customWidth="1"/>
    <col min="263" max="263" width="10" style="682" customWidth="1"/>
    <col min="264" max="264" width="11.109375" style="682" customWidth="1"/>
    <col min="265" max="265" width="8.88671875" style="682"/>
    <col min="266" max="266" width="9.5546875" style="682" bestFit="1" customWidth="1"/>
    <col min="267" max="267" width="8.88671875" style="682"/>
    <col min="268" max="268" width="12.6640625" style="682" customWidth="1"/>
    <col min="269" max="269" width="8.88671875" style="682"/>
    <col min="270" max="271" width="10" style="682" customWidth="1"/>
    <col min="272" max="272" width="12.5546875" style="682" customWidth="1"/>
    <col min="273" max="274" width="8.88671875" style="682"/>
    <col min="275" max="275" width="9.77734375" style="682" customWidth="1"/>
    <col min="276" max="512" width="8.88671875" style="682"/>
    <col min="513" max="513" width="5.88671875" style="682" customWidth="1"/>
    <col min="514" max="514" width="7.33203125" style="682" customWidth="1"/>
    <col min="515" max="515" width="39.109375" style="682" customWidth="1"/>
    <col min="516" max="516" width="6.109375" style="682" customWidth="1"/>
    <col min="517" max="517" width="4.6640625" style="682" customWidth="1"/>
    <col min="518" max="518" width="11.109375" style="682" customWidth="1"/>
    <col min="519" max="519" width="10" style="682" customWidth="1"/>
    <col min="520" max="520" width="11.109375" style="682" customWidth="1"/>
    <col min="521" max="521" width="8.88671875" style="682"/>
    <col min="522" max="522" width="9.5546875" style="682" bestFit="1" customWidth="1"/>
    <col min="523" max="523" width="8.88671875" style="682"/>
    <col min="524" max="524" width="12.6640625" style="682" customWidth="1"/>
    <col min="525" max="525" width="8.88671875" style="682"/>
    <col min="526" max="527" width="10" style="682" customWidth="1"/>
    <col min="528" max="528" width="12.5546875" style="682" customWidth="1"/>
    <col min="529" max="530" width="8.88671875" style="682"/>
    <col min="531" max="531" width="9.77734375" style="682" customWidth="1"/>
    <col min="532" max="768" width="8.88671875" style="682"/>
    <col min="769" max="769" width="5.88671875" style="682" customWidth="1"/>
    <col min="770" max="770" width="7.33203125" style="682" customWidth="1"/>
    <col min="771" max="771" width="39.109375" style="682" customWidth="1"/>
    <col min="772" max="772" width="6.109375" style="682" customWidth="1"/>
    <col min="773" max="773" width="4.6640625" style="682" customWidth="1"/>
    <col min="774" max="774" width="11.109375" style="682" customWidth="1"/>
    <col min="775" max="775" width="10" style="682" customWidth="1"/>
    <col min="776" max="776" width="11.109375" style="682" customWidth="1"/>
    <col min="777" max="777" width="8.88671875" style="682"/>
    <col min="778" max="778" width="9.5546875" style="682" bestFit="1" customWidth="1"/>
    <col min="779" max="779" width="8.88671875" style="682"/>
    <col min="780" max="780" width="12.6640625" style="682" customWidth="1"/>
    <col min="781" max="781" width="8.88671875" style="682"/>
    <col min="782" max="783" width="10" style="682" customWidth="1"/>
    <col min="784" max="784" width="12.5546875" style="682" customWidth="1"/>
    <col min="785" max="786" width="8.88671875" style="682"/>
    <col min="787" max="787" width="9.77734375" style="682" customWidth="1"/>
    <col min="788" max="1024" width="8.88671875" style="682"/>
    <col min="1025" max="1025" width="5.88671875" style="682" customWidth="1"/>
    <col min="1026" max="1026" width="7.33203125" style="682" customWidth="1"/>
    <col min="1027" max="1027" width="39.109375" style="682" customWidth="1"/>
    <col min="1028" max="1028" width="6.109375" style="682" customWidth="1"/>
    <col min="1029" max="1029" width="4.6640625" style="682" customWidth="1"/>
    <col min="1030" max="1030" width="11.109375" style="682" customWidth="1"/>
    <col min="1031" max="1031" width="10" style="682" customWidth="1"/>
    <col min="1032" max="1032" width="11.109375" style="682" customWidth="1"/>
    <col min="1033" max="1033" width="8.88671875" style="682"/>
    <col min="1034" max="1034" width="9.5546875" style="682" bestFit="1" customWidth="1"/>
    <col min="1035" max="1035" width="8.88671875" style="682"/>
    <col min="1036" max="1036" width="12.6640625" style="682" customWidth="1"/>
    <col min="1037" max="1037" width="8.88671875" style="682"/>
    <col min="1038" max="1039" width="10" style="682" customWidth="1"/>
    <col min="1040" max="1040" width="12.5546875" style="682" customWidth="1"/>
    <col min="1041" max="1042" width="8.88671875" style="682"/>
    <col min="1043" max="1043" width="9.77734375" style="682" customWidth="1"/>
    <col min="1044" max="1280" width="8.88671875" style="682"/>
    <col min="1281" max="1281" width="5.88671875" style="682" customWidth="1"/>
    <col min="1282" max="1282" width="7.33203125" style="682" customWidth="1"/>
    <col min="1283" max="1283" width="39.109375" style="682" customWidth="1"/>
    <col min="1284" max="1284" width="6.109375" style="682" customWidth="1"/>
    <col min="1285" max="1285" width="4.6640625" style="682" customWidth="1"/>
    <col min="1286" max="1286" width="11.109375" style="682" customWidth="1"/>
    <col min="1287" max="1287" width="10" style="682" customWidth="1"/>
    <col min="1288" max="1288" width="11.109375" style="682" customWidth="1"/>
    <col min="1289" max="1289" width="8.88671875" style="682"/>
    <col min="1290" max="1290" width="9.5546875" style="682" bestFit="1" customWidth="1"/>
    <col min="1291" max="1291" width="8.88671875" style="682"/>
    <col min="1292" max="1292" width="12.6640625" style="682" customWidth="1"/>
    <col min="1293" max="1293" width="8.88671875" style="682"/>
    <col min="1294" max="1295" width="10" style="682" customWidth="1"/>
    <col min="1296" max="1296" width="12.5546875" style="682" customWidth="1"/>
    <col min="1297" max="1298" width="8.88671875" style="682"/>
    <col min="1299" max="1299" width="9.77734375" style="682" customWidth="1"/>
    <col min="1300" max="1536" width="8.88671875" style="682"/>
    <col min="1537" max="1537" width="5.88671875" style="682" customWidth="1"/>
    <col min="1538" max="1538" width="7.33203125" style="682" customWidth="1"/>
    <col min="1539" max="1539" width="39.109375" style="682" customWidth="1"/>
    <col min="1540" max="1540" width="6.109375" style="682" customWidth="1"/>
    <col min="1541" max="1541" width="4.6640625" style="682" customWidth="1"/>
    <col min="1542" max="1542" width="11.109375" style="682" customWidth="1"/>
    <col min="1543" max="1543" width="10" style="682" customWidth="1"/>
    <col min="1544" max="1544" width="11.109375" style="682" customWidth="1"/>
    <col min="1545" max="1545" width="8.88671875" style="682"/>
    <col min="1546" max="1546" width="9.5546875" style="682" bestFit="1" customWidth="1"/>
    <col min="1547" max="1547" width="8.88671875" style="682"/>
    <col min="1548" max="1548" width="12.6640625" style="682" customWidth="1"/>
    <col min="1549" max="1549" width="8.88671875" style="682"/>
    <col min="1550" max="1551" width="10" style="682" customWidth="1"/>
    <col min="1552" max="1552" width="12.5546875" style="682" customWidth="1"/>
    <col min="1553" max="1554" width="8.88671875" style="682"/>
    <col min="1555" max="1555" width="9.77734375" style="682" customWidth="1"/>
    <col min="1556" max="1792" width="8.88671875" style="682"/>
    <col min="1793" max="1793" width="5.88671875" style="682" customWidth="1"/>
    <col min="1794" max="1794" width="7.33203125" style="682" customWidth="1"/>
    <col min="1795" max="1795" width="39.109375" style="682" customWidth="1"/>
    <col min="1796" max="1796" width="6.109375" style="682" customWidth="1"/>
    <col min="1797" max="1797" width="4.6640625" style="682" customWidth="1"/>
    <col min="1798" max="1798" width="11.109375" style="682" customWidth="1"/>
    <col min="1799" max="1799" width="10" style="682" customWidth="1"/>
    <col min="1800" max="1800" width="11.109375" style="682" customWidth="1"/>
    <col min="1801" max="1801" width="8.88671875" style="682"/>
    <col min="1802" max="1802" width="9.5546875" style="682" bestFit="1" customWidth="1"/>
    <col min="1803" max="1803" width="8.88671875" style="682"/>
    <col min="1804" max="1804" width="12.6640625" style="682" customWidth="1"/>
    <col min="1805" max="1805" width="8.88671875" style="682"/>
    <col min="1806" max="1807" width="10" style="682" customWidth="1"/>
    <col min="1808" max="1808" width="12.5546875" style="682" customWidth="1"/>
    <col min="1809" max="1810" width="8.88671875" style="682"/>
    <col min="1811" max="1811" width="9.77734375" style="682" customWidth="1"/>
    <col min="1812" max="2048" width="8.88671875" style="682"/>
    <col min="2049" max="2049" width="5.88671875" style="682" customWidth="1"/>
    <col min="2050" max="2050" width="7.33203125" style="682" customWidth="1"/>
    <col min="2051" max="2051" width="39.109375" style="682" customWidth="1"/>
    <col min="2052" max="2052" width="6.109375" style="682" customWidth="1"/>
    <col min="2053" max="2053" width="4.6640625" style="682" customWidth="1"/>
    <col min="2054" max="2054" width="11.109375" style="682" customWidth="1"/>
    <col min="2055" max="2055" width="10" style="682" customWidth="1"/>
    <col min="2056" max="2056" width="11.109375" style="682" customWidth="1"/>
    <col min="2057" max="2057" width="8.88671875" style="682"/>
    <col min="2058" max="2058" width="9.5546875" style="682" bestFit="1" customWidth="1"/>
    <col min="2059" max="2059" width="8.88671875" style="682"/>
    <col min="2060" max="2060" width="12.6640625" style="682" customWidth="1"/>
    <col min="2061" max="2061" width="8.88671875" style="682"/>
    <col min="2062" max="2063" width="10" style="682" customWidth="1"/>
    <col min="2064" max="2064" width="12.5546875" style="682" customWidth="1"/>
    <col min="2065" max="2066" width="8.88671875" style="682"/>
    <col min="2067" max="2067" width="9.77734375" style="682" customWidth="1"/>
    <col min="2068" max="2304" width="8.88671875" style="682"/>
    <col min="2305" max="2305" width="5.88671875" style="682" customWidth="1"/>
    <col min="2306" max="2306" width="7.33203125" style="682" customWidth="1"/>
    <col min="2307" max="2307" width="39.109375" style="682" customWidth="1"/>
    <col min="2308" max="2308" width="6.109375" style="682" customWidth="1"/>
    <col min="2309" max="2309" width="4.6640625" style="682" customWidth="1"/>
    <col min="2310" max="2310" width="11.109375" style="682" customWidth="1"/>
    <col min="2311" max="2311" width="10" style="682" customWidth="1"/>
    <col min="2312" max="2312" width="11.109375" style="682" customWidth="1"/>
    <col min="2313" max="2313" width="8.88671875" style="682"/>
    <col min="2314" max="2314" width="9.5546875" style="682" bestFit="1" customWidth="1"/>
    <col min="2315" max="2315" width="8.88671875" style="682"/>
    <col min="2316" max="2316" width="12.6640625" style="682" customWidth="1"/>
    <col min="2317" max="2317" width="8.88671875" style="682"/>
    <col min="2318" max="2319" width="10" style="682" customWidth="1"/>
    <col min="2320" max="2320" width="12.5546875" style="682" customWidth="1"/>
    <col min="2321" max="2322" width="8.88671875" style="682"/>
    <col min="2323" max="2323" width="9.77734375" style="682" customWidth="1"/>
    <col min="2324" max="2560" width="8.88671875" style="682"/>
    <col min="2561" max="2561" width="5.88671875" style="682" customWidth="1"/>
    <col min="2562" max="2562" width="7.33203125" style="682" customWidth="1"/>
    <col min="2563" max="2563" width="39.109375" style="682" customWidth="1"/>
    <col min="2564" max="2564" width="6.109375" style="682" customWidth="1"/>
    <col min="2565" max="2565" width="4.6640625" style="682" customWidth="1"/>
    <col min="2566" max="2566" width="11.109375" style="682" customWidth="1"/>
    <col min="2567" max="2567" width="10" style="682" customWidth="1"/>
    <col min="2568" max="2568" width="11.109375" style="682" customWidth="1"/>
    <col min="2569" max="2569" width="8.88671875" style="682"/>
    <col min="2570" max="2570" width="9.5546875" style="682" bestFit="1" customWidth="1"/>
    <col min="2571" max="2571" width="8.88671875" style="682"/>
    <col min="2572" max="2572" width="12.6640625" style="682" customWidth="1"/>
    <col min="2573" max="2573" width="8.88671875" style="682"/>
    <col min="2574" max="2575" width="10" style="682" customWidth="1"/>
    <col min="2576" max="2576" width="12.5546875" style="682" customWidth="1"/>
    <col min="2577" max="2578" width="8.88671875" style="682"/>
    <col min="2579" max="2579" width="9.77734375" style="682" customWidth="1"/>
    <col min="2580" max="2816" width="8.88671875" style="682"/>
    <col min="2817" max="2817" width="5.88671875" style="682" customWidth="1"/>
    <col min="2818" max="2818" width="7.33203125" style="682" customWidth="1"/>
    <col min="2819" max="2819" width="39.109375" style="682" customWidth="1"/>
    <col min="2820" max="2820" width="6.109375" style="682" customWidth="1"/>
    <col min="2821" max="2821" width="4.6640625" style="682" customWidth="1"/>
    <col min="2822" max="2822" width="11.109375" style="682" customWidth="1"/>
    <col min="2823" max="2823" width="10" style="682" customWidth="1"/>
    <col min="2824" max="2824" width="11.109375" style="682" customWidth="1"/>
    <col min="2825" max="2825" width="8.88671875" style="682"/>
    <col min="2826" max="2826" width="9.5546875" style="682" bestFit="1" customWidth="1"/>
    <col min="2827" max="2827" width="8.88671875" style="682"/>
    <col min="2828" max="2828" width="12.6640625" style="682" customWidth="1"/>
    <col min="2829" max="2829" width="8.88671875" style="682"/>
    <col min="2830" max="2831" width="10" style="682" customWidth="1"/>
    <col min="2832" max="2832" width="12.5546875" style="682" customWidth="1"/>
    <col min="2833" max="2834" width="8.88671875" style="682"/>
    <col min="2835" max="2835" width="9.77734375" style="682" customWidth="1"/>
    <col min="2836" max="3072" width="8.88671875" style="682"/>
    <col min="3073" max="3073" width="5.88671875" style="682" customWidth="1"/>
    <col min="3074" max="3074" width="7.33203125" style="682" customWidth="1"/>
    <col min="3075" max="3075" width="39.109375" style="682" customWidth="1"/>
    <col min="3076" max="3076" width="6.109375" style="682" customWidth="1"/>
    <col min="3077" max="3077" width="4.6640625" style="682" customWidth="1"/>
    <col min="3078" max="3078" width="11.109375" style="682" customWidth="1"/>
    <col min="3079" max="3079" width="10" style="682" customWidth="1"/>
    <col min="3080" max="3080" width="11.109375" style="682" customWidth="1"/>
    <col min="3081" max="3081" width="8.88671875" style="682"/>
    <col min="3082" max="3082" width="9.5546875" style="682" bestFit="1" customWidth="1"/>
    <col min="3083" max="3083" width="8.88671875" style="682"/>
    <col min="3084" max="3084" width="12.6640625" style="682" customWidth="1"/>
    <col min="3085" max="3085" width="8.88671875" style="682"/>
    <col min="3086" max="3087" width="10" style="682" customWidth="1"/>
    <col min="3088" max="3088" width="12.5546875" style="682" customWidth="1"/>
    <col min="3089" max="3090" width="8.88671875" style="682"/>
    <col min="3091" max="3091" width="9.77734375" style="682" customWidth="1"/>
    <col min="3092" max="3328" width="8.88671875" style="682"/>
    <col min="3329" max="3329" width="5.88671875" style="682" customWidth="1"/>
    <col min="3330" max="3330" width="7.33203125" style="682" customWidth="1"/>
    <col min="3331" max="3331" width="39.109375" style="682" customWidth="1"/>
    <col min="3332" max="3332" width="6.109375" style="682" customWidth="1"/>
    <col min="3333" max="3333" width="4.6640625" style="682" customWidth="1"/>
    <col min="3334" max="3334" width="11.109375" style="682" customWidth="1"/>
    <col min="3335" max="3335" width="10" style="682" customWidth="1"/>
    <col min="3336" max="3336" width="11.109375" style="682" customWidth="1"/>
    <col min="3337" max="3337" width="8.88671875" style="682"/>
    <col min="3338" max="3338" width="9.5546875" style="682" bestFit="1" customWidth="1"/>
    <col min="3339" max="3339" width="8.88671875" style="682"/>
    <col min="3340" max="3340" width="12.6640625" style="682" customWidth="1"/>
    <col min="3341" max="3341" width="8.88671875" style="682"/>
    <col min="3342" max="3343" width="10" style="682" customWidth="1"/>
    <col min="3344" max="3344" width="12.5546875" style="682" customWidth="1"/>
    <col min="3345" max="3346" width="8.88671875" style="682"/>
    <col min="3347" max="3347" width="9.77734375" style="682" customWidth="1"/>
    <col min="3348" max="3584" width="8.88671875" style="682"/>
    <col min="3585" max="3585" width="5.88671875" style="682" customWidth="1"/>
    <col min="3586" max="3586" width="7.33203125" style="682" customWidth="1"/>
    <col min="3587" max="3587" width="39.109375" style="682" customWidth="1"/>
    <col min="3588" max="3588" width="6.109375" style="682" customWidth="1"/>
    <col min="3589" max="3589" width="4.6640625" style="682" customWidth="1"/>
    <col min="3590" max="3590" width="11.109375" style="682" customWidth="1"/>
    <col min="3591" max="3591" width="10" style="682" customWidth="1"/>
    <col min="3592" max="3592" width="11.109375" style="682" customWidth="1"/>
    <col min="3593" max="3593" width="8.88671875" style="682"/>
    <col min="3594" max="3594" width="9.5546875" style="682" bestFit="1" customWidth="1"/>
    <col min="3595" max="3595" width="8.88671875" style="682"/>
    <col min="3596" max="3596" width="12.6640625" style="682" customWidth="1"/>
    <col min="3597" max="3597" width="8.88671875" style="682"/>
    <col min="3598" max="3599" width="10" style="682" customWidth="1"/>
    <col min="3600" max="3600" width="12.5546875" style="682" customWidth="1"/>
    <col min="3601" max="3602" width="8.88671875" style="682"/>
    <col min="3603" max="3603" width="9.77734375" style="682" customWidth="1"/>
    <col min="3604" max="3840" width="8.88671875" style="682"/>
    <col min="3841" max="3841" width="5.88671875" style="682" customWidth="1"/>
    <col min="3842" max="3842" width="7.33203125" style="682" customWidth="1"/>
    <col min="3843" max="3843" width="39.109375" style="682" customWidth="1"/>
    <col min="3844" max="3844" width="6.109375" style="682" customWidth="1"/>
    <col min="3845" max="3845" width="4.6640625" style="682" customWidth="1"/>
    <col min="3846" max="3846" width="11.109375" style="682" customWidth="1"/>
    <col min="3847" max="3847" width="10" style="682" customWidth="1"/>
    <col min="3848" max="3848" width="11.109375" style="682" customWidth="1"/>
    <col min="3849" max="3849" width="8.88671875" style="682"/>
    <col min="3850" max="3850" width="9.5546875" style="682" bestFit="1" customWidth="1"/>
    <col min="3851" max="3851" width="8.88671875" style="682"/>
    <col min="3852" max="3852" width="12.6640625" style="682" customWidth="1"/>
    <col min="3853" max="3853" width="8.88671875" style="682"/>
    <col min="3854" max="3855" width="10" style="682" customWidth="1"/>
    <col min="3856" max="3856" width="12.5546875" style="682" customWidth="1"/>
    <col min="3857" max="3858" width="8.88671875" style="682"/>
    <col min="3859" max="3859" width="9.77734375" style="682" customWidth="1"/>
    <col min="3860" max="4096" width="8.88671875" style="682"/>
    <col min="4097" max="4097" width="5.88671875" style="682" customWidth="1"/>
    <col min="4098" max="4098" width="7.33203125" style="682" customWidth="1"/>
    <col min="4099" max="4099" width="39.109375" style="682" customWidth="1"/>
    <col min="4100" max="4100" width="6.109375" style="682" customWidth="1"/>
    <col min="4101" max="4101" width="4.6640625" style="682" customWidth="1"/>
    <col min="4102" max="4102" width="11.109375" style="682" customWidth="1"/>
    <col min="4103" max="4103" width="10" style="682" customWidth="1"/>
    <col min="4104" max="4104" width="11.109375" style="682" customWidth="1"/>
    <col min="4105" max="4105" width="8.88671875" style="682"/>
    <col min="4106" max="4106" width="9.5546875" style="682" bestFit="1" customWidth="1"/>
    <col min="4107" max="4107" width="8.88671875" style="682"/>
    <col min="4108" max="4108" width="12.6640625" style="682" customWidth="1"/>
    <col min="4109" max="4109" width="8.88671875" style="682"/>
    <col min="4110" max="4111" width="10" style="682" customWidth="1"/>
    <col min="4112" max="4112" width="12.5546875" style="682" customWidth="1"/>
    <col min="4113" max="4114" width="8.88671875" style="682"/>
    <col min="4115" max="4115" width="9.77734375" style="682" customWidth="1"/>
    <col min="4116" max="4352" width="8.88671875" style="682"/>
    <col min="4353" max="4353" width="5.88671875" style="682" customWidth="1"/>
    <col min="4354" max="4354" width="7.33203125" style="682" customWidth="1"/>
    <col min="4355" max="4355" width="39.109375" style="682" customWidth="1"/>
    <col min="4356" max="4356" width="6.109375" style="682" customWidth="1"/>
    <col min="4357" max="4357" width="4.6640625" style="682" customWidth="1"/>
    <col min="4358" max="4358" width="11.109375" style="682" customWidth="1"/>
    <col min="4359" max="4359" width="10" style="682" customWidth="1"/>
    <col min="4360" max="4360" width="11.109375" style="682" customWidth="1"/>
    <col min="4361" max="4361" width="8.88671875" style="682"/>
    <col min="4362" max="4362" width="9.5546875" style="682" bestFit="1" customWidth="1"/>
    <col min="4363" max="4363" width="8.88671875" style="682"/>
    <col min="4364" max="4364" width="12.6640625" style="682" customWidth="1"/>
    <col min="4365" max="4365" width="8.88671875" style="682"/>
    <col min="4366" max="4367" width="10" style="682" customWidth="1"/>
    <col min="4368" max="4368" width="12.5546875" style="682" customWidth="1"/>
    <col min="4369" max="4370" width="8.88671875" style="682"/>
    <col min="4371" max="4371" width="9.77734375" style="682" customWidth="1"/>
    <col min="4372" max="4608" width="8.88671875" style="682"/>
    <col min="4609" max="4609" width="5.88671875" style="682" customWidth="1"/>
    <col min="4610" max="4610" width="7.33203125" style="682" customWidth="1"/>
    <col min="4611" max="4611" width="39.109375" style="682" customWidth="1"/>
    <col min="4612" max="4612" width="6.109375" style="682" customWidth="1"/>
    <col min="4613" max="4613" width="4.6640625" style="682" customWidth="1"/>
    <col min="4614" max="4614" width="11.109375" style="682" customWidth="1"/>
    <col min="4615" max="4615" width="10" style="682" customWidth="1"/>
    <col min="4616" max="4616" width="11.109375" style="682" customWidth="1"/>
    <col min="4617" max="4617" width="8.88671875" style="682"/>
    <col min="4618" max="4618" width="9.5546875" style="682" bestFit="1" customWidth="1"/>
    <col min="4619" max="4619" width="8.88671875" style="682"/>
    <col min="4620" max="4620" width="12.6640625" style="682" customWidth="1"/>
    <col min="4621" max="4621" width="8.88671875" style="682"/>
    <col min="4622" max="4623" width="10" style="682" customWidth="1"/>
    <col min="4624" max="4624" width="12.5546875" style="682" customWidth="1"/>
    <col min="4625" max="4626" width="8.88671875" style="682"/>
    <col min="4627" max="4627" width="9.77734375" style="682" customWidth="1"/>
    <col min="4628" max="4864" width="8.88671875" style="682"/>
    <col min="4865" max="4865" width="5.88671875" style="682" customWidth="1"/>
    <col min="4866" max="4866" width="7.33203125" style="682" customWidth="1"/>
    <col min="4867" max="4867" width="39.109375" style="682" customWidth="1"/>
    <col min="4868" max="4868" width="6.109375" style="682" customWidth="1"/>
    <col min="4869" max="4869" width="4.6640625" style="682" customWidth="1"/>
    <col min="4870" max="4870" width="11.109375" style="682" customWidth="1"/>
    <col min="4871" max="4871" width="10" style="682" customWidth="1"/>
    <col min="4872" max="4872" width="11.109375" style="682" customWidth="1"/>
    <col min="4873" max="4873" width="8.88671875" style="682"/>
    <col min="4874" max="4874" width="9.5546875" style="682" bestFit="1" customWidth="1"/>
    <col min="4875" max="4875" width="8.88671875" style="682"/>
    <col min="4876" max="4876" width="12.6640625" style="682" customWidth="1"/>
    <col min="4877" max="4877" width="8.88671875" style="682"/>
    <col min="4878" max="4879" width="10" style="682" customWidth="1"/>
    <col min="4880" max="4880" width="12.5546875" style="682" customWidth="1"/>
    <col min="4881" max="4882" width="8.88671875" style="682"/>
    <col min="4883" max="4883" width="9.77734375" style="682" customWidth="1"/>
    <col min="4884" max="5120" width="8.88671875" style="682"/>
    <col min="5121" max="5121" width="5.88671875" style="682" customWidth="1"/>
    <col min="5122" max="5122" width="7.33203125" style="682" customWidth="1"/>
    <col min="5123" max="5123" width="39.109375" style="682" customWidth="1"/>
    <col min="5124" max="5124" width="6.109375" style="682" customWidth="1"/>
    <col min="5125" max="5125" width="4.6640625" style="682" customWidth="1"/>
    <col min="5126" max="5126" width="11.109375" style="682" customWidth="1"/>
    <col min="5127" max="5127" width="10" style="682" customWidth="1"/>
    <col min="5128" max="5128" width="11.109375" style="682" customWidth="1"/>
    <col min="5129" max="5129" width="8.88671875" style="682"/>
    <col min="5130" max="5130" width="9.5546875" style="682" bestFit="1" customWidth="1"/>
    <col min="5131" max="5131" width="8.88671875" style="682"/>
    <col min="5132" max="5132" width="12.6640625" style="682" customWidth="1"/>
    <col min="5133" max="5133" width="8.88671875" style="682"/>
    <col min="5134" max="5135" width="10" style="682" customWidth="1"/>
    <col min="5136" max="5136" width="12.5546875" style="682" customWidth="1"/>
    <col min="5137" max="5138" width="8.88671875" style="682"/>
    <col min="5139" max="5139" width="9.77734375" style="682" customWidth="1"/>
    <col min="5140" max="5376" width="8.88671875" style="682"/>
    <col min="5377" max="5377" width="5.88671875" style="682" customWidth="1"/>
    <col min="5378" max="5378" width="7.33203125" style="682" customWidth="1"/>
    <col min="5379" max="5379" width="39.109375" style="682" customWidth="1"/>
    <col min="5380" max="5380" width="6.109375" style="682" customWidth="1"/>
    <col min="5381" max="5381" width="4.6640625" style="682" customWidth="1"/>
    <col min="5382" max="5382" width="11.109375" style="682" customWidth="1"/>
    <col min="5383" max="5383" width="10" style="682" customWidth="1"/>
    <col min="5384" max="5384" width="11.109375" style="682" customWidth="1"/>
    <col min="5385" max="5385" width="8.88671875" style="682"/>
    <col min="5386" max="5386" width="9.5546875" style="682" bestFit="1" customWidth="1"/>
    <col min="5387" max="5387" width="8.88671875" style="682"/>
    <col min="5388" max="5388" width="12.6640625" style="682" customWidth="1"/>
    <col min="5389" max="5389" width="8.88671875" style="682"/>
    <col min="5390" max="5391" width="10" style="682" customWidth="1"/>
    <col min="5392" max="5392" width="12.5546875" style="682" customWidth="1"/>
    <col min="5393" max="5394" width="8.88671875" style="682"/>
    <col min="5395" max="5395" width="9.77734375" style="682" customWidth="1"/>
    <col min="5396" max="5632" width="8.88671875" style="682"/>
    <col min="5633" max="5633" width="5.88671875" style="682" customWidth="1"/>
    <col min="5634" max="5634" width="7.33203125" style="682" customWidth="1"/>
    <col min="5635" max="5635" width="39.109375" style="682" customWidth="1"/>
    <col min="5636" max="5636" width="6.109375" style="682" customWidth="1"/>
    <col min="5637" max="5637" width="4.6640625" style="682" customWidth="1"/>
    <col min="5638" max="5638" width="11.109375" style="682" customWidth="1"/>
    <col min="5639" max="5639" width="10" style="682" customWidth="1"/>
    <col min="5640" max="5640" width="11.109375" style="682" customWidth="1"/>
    <col min="5641" max="5641" width="8.88671875" style="682"/>
    <col min="5642" max="5642" width="9.5546875" style="682" bestFit="1" customWidth="1"/>
    <col min="5643" max="5643" width="8.88671875" style="682"/>
    <col min="5644" max="5644" width="12.6640625" style="682" customWidth="1"/>
    <col min="5645" max="5645" width="8.88671875" style="682"/>
    <col min="5646" max="5647" width="10" style="682" customWidth="1"/>
    <col min="5648" max="5648" width="12.5546875" style="682" customWidth="1"/>
    <col min="5649" max="5650" width="8.88671875" style="682"/>
    <col min="5651" max="5651" width="9.77734375" style="682" customWidth="1"/>
    <col min="5652" max="5888" width="8.88671875" style="682"/>
    <col min="5889" max="5889" width="5.88671875" style="682" customWidth="1"/>
    <col min="5890" max="5890" width="7.33203125" style="682" customWidth="1"/>
    <col min="5891" max="5891" width="39.109375" style="682" customWidth="1"/>
    <col min="5892" max="5892" width="6.109375" style="682" customWidth="1"/>
    <col min="5893" max="5893" width="4.6640625" style="682" customWidth="1"/>
    <col min="5894" max="5894" width="11.109375" style="682" customWidth="1"/>
    <col min="5895" max="5895" width="10" style="682" customWidth="1"/>
    <col min="5896" max="5896" width="11.109375" style="682" customWidth="1"/>
    <col min="5897" max="5897" width="8.88671875" style="682"/>
    <col min="5898" max="5898" width="9.5546875" style="682" bestFit="1" customWidth="1"/>
    <col min="5899" max="5899" width="8.88671875" style="682"/>
    <col min="5900" max="5900" width="12.6640625" style="682" customWidth="1"/>
    <col min="5901" max="5901" width="8.88671875" style="682"/>
    <col min="5902" max="5903" width="10" style="682" customWidth="1"/>
    <col min="5904" max="5904" width="12.5546875" style="682" customWidth="1"/>
    <col min="5905" max="5906" width="8.88671875" style="682"/>
    <col min="5907" max="5907" width="9.77734375" style="682" customWidth="1"/>
    <col min="5908" max="6144" width="8.88671875" style="682"/>
    <col min="6145" max="6145" width="5.88671875" style="682" customWidth="1"/>
    <col min="6146" max="6146" width="7.33203125" style="682" customWidth="1"/>
    <col min="6147" max="6147" width="39.109375" style="682" customWidth="1"/>
    <col min="6148" max="6148" width="6.109375" style="682" customWidth="1"/>
    <col min="6149" max="6149" width="4.6640625" style="682" customWidth="1"/>
    <col min="6150" max="6150" width="11.109375" style="682" customWidth="1"/>
    <col min="6151" max="6151" width="10" style="682" customWidth="1"/>
    <col min="6152" max="6152" width="11.109375" style="682" customWidth="1"/>
    <col min="6153" max="6153" width="8.88671875" style="682"/>
    <col min="6154" max="6154" width="9.5546875" style="682" bestFit="1" customWidth="1"/>
    <col min="6155" max="6155" width="8.88671875" style="682"/>
    <col min="6156" max="6156" width="12.6640625" style="682" customWidth="1"/>
    <col min="6157" max="6157" width="8.88671875" style="682"/>
    <col min="6158" max="6159" width="10" style="682" customWidth="1"/>
    <col min="6160" max="6160" width="12.5546875" style="682" customWidth="1"/>
    <col min="6161" max="6162" width="8.88671875" style="682"/>
    <col min="6163" max="6163" width="9.77734375" style="682" customWidth="1"/>
    <col min="6164" max="6400" width="8.88671875" style="682"/>
    <col min="6401" max="6401" width="5.88671875" style="682" customWidth="1"/>
    <col min="6402" max="6402" width="7.33203125" style="682" customWidth="1"/>
    <col min="6403" max="6403" width="39.109375" style="682" customWidth="1"/>
    <col min="6404" max="6404" width="6.109375" style="682" customWidth="1"/>
    <col min="6405" max="6405" width="4.6640625" style="682" customWidth="1"/>
    <col min="6406" max="6406" width="11.109375" style="682" customWidth="1"/>
    <col min="6407" max="6407" width="10" style="682" customWidth="1"/>
    <col min="6408" max="6408" width="11.109375" style="682" customWidth="1"/>
    <col min="6409" max="6409" width="8.88671875" style="682"/>
    <col min="6410" max="6410" width="9.5546875" style="682" bestFit="1" customWidth="1"/>
    <col min="6411" max="6411" width="8.88671875" style="682"/>
    <col min="6412" max="6412" width="12.6640625" style="682" customWidth="1"/>
    <col min="6413" max="6413" width="8.88671875" style="682"/>
    <col min="6414" max="6415" width="10" style="682" customWidth="1"/>
    <col min="6416" max="6416" width="12.5546875" style="682" customWidth="1"/>
    <col min="6417" max="6418" width="8.88671875" style="682"/>
    <col min="6419" max="6419" width="9.77734375" style="682" customWidth="1"/>
    <col min="6420" max="6656" width="8.88671875" style="682"/>
    <col min="6657" max="6657" width="5.88671875" style="682" customWidth="1"/>
    <col min="6658" max="6658" width="7.33203125" style="682" customWidth="1"/>
    <col min="6659" max="6659" width="39.109375" style="682" customWidth="1"/>
    <col min="6660" max="6660" width="6.109375" style="682" customWidth="1"/>
    <col min="6661" max="6661" width="4.6640625" style="682" customWidth="1"/>
    <col min="6662" max="6662" width="11.109375" style="682" customWidth="1"/>
    <col min="6663" max="6663" width="10" style="682" customWidth="1"/>
    <col min="6664" max="6664" width="11.109375" style="682" customWidth="1"/>
    <col min="6665" max="6665" width="8.88671875" style="682"/>
    <col min="6666" max="6666" width="9.5546875" style="682" bestFit="1" customWidth="1"/>
    <col min="6667" max="6667" width="8.88671875" style="682"/>
    <col min="6668" max="6668" width="12.6640625" style="682" customWidth="1"/>
    <col min="6669" max="6669" width="8.88671875" style="682"/>
    <col min="6670" max="6671" width="10" style="682" customWidth="1"/>
    <col min="6672" max="6672" width="12.5546875" style="682" customWidth="1"/>
    <col min="6673" max="6674" width="8.88671875" style="682"/>
    <col min="6675" max="6675" width="9.77734375" style="682" customWidth="1"/>
    <col min="6676" max="6912" width="8.88671875" style="682"/>
    <col min="6913" max="6913" width="5.88671875" style="682" customWidth="1"/>
    <col min="6914" max="6914" width="7.33203125" style="682" customWidth="1"/>
    <col min="6915" max="6915" width="39.109375" style="682" customWidth="1"/>
    <col min="6916" max="6916" width="6.109375" style="682" customWidth="1"/>
    <col min="6917" max="6917" width="4.6640625" style="682" customWidth="1"/>
    <col min="6918" max="6918" width="11.109375" style="682" customWidth="1"/>
    <col min="6919" max="6919" width="10" style="682" customWidth="1"/>
    <col min="6920" max="6920" width="11.109375" style="682" customWidth="1"/>
    <col min="6921" max="6921" width="8.88671875" style="682"/>
    <col min="6922" max="6922" width="9.5546875" style="682" bestFit="1" customWidth="1"/>
    <col min="6923" max="6923" width="8.88671875" style="682"/>
    <col min="6924" max="6924" width="12.6640625" style="682" customWidth="1"/>
    <col min="6925" max="6925" width="8.88671875" style="682"/>
    <col min="6926" max="6927" width="10" style="682" customWidth="1"/>
    <col min="6928" max="6928" width="12.5546875" style="682" customWidth="1"/>
    <col min="6929" max="6930" width="8.88671875" style="682"/>
    <col min="6931" max="6931" width="9.77734375" style="682" customWidth="1"/>
    <col min="6932" max="7168" width="8.88671875" style="682"/>
    <col min="7169" max="7169" width="5.88671875" style="682" customWidth="1"/>
    <col min="7170" max="7170" width="7.33203125" style="682" customWidth="1"/>
    <col min="7171" max="7171" width="39.109375" style="682" customWidth="1"/>
    <col min="7172" max="7172" width="6.109375" style="682" customWidth="1"/>
    <col min="7173" max="7173" width="4.6640625" style="682" customWidth="1"/>
    <col min="7174" max="7174" width="11.109375" style="682" customWidth="1"/>
    <col min="7175" max="7175" width="10" style="682" customWidth="1"/>
    <col min="7176" max="7176" width="11.109375" style="682" customWidth="1"/>
    <col min="7177" max="7177" width="8.88671875" style="682"/>
    <col min="7178" max="7178" width="9.5546875" style="682" bestFit="1" customWidth="1"/>
    <col min="7179" max="7179" width="8.88671875" style="682"/>
    <col min="7180" max="7180" width="12.6640625" style="682" customWidth="1"/>
    <col min="7181" max="7181" width="8.88671875" style="682"/>
    <col min="7182" max="7183" width="10" style="682" customWidth="1"/>
    <col min="7184" max="7184" width="12.5546875" style="682" customWidth="1"/>
    <col min="7185" max="7186" width="8.88671875" style="682"/>
    <col min="7187" max="7187" width="9.77734375" style="682" customWidth="1"/>
    <col min="7188" max="7424" width="8.88671875" style="682"/>
    <col min="7425" max="7425" width="5.88671875" style="682" customWidth="1"/>
    <col min="7426" max="7426" width="7.33203125" style="682" customWidth="1"/>
    <col min="7427" max="7427" width="39.109375" style="682" customWidth="1"/>
    <col min="7428" max="7428" width="6.109375" style="682" customWidth="1"/>
    <col min="7429" max="7429" width="4.6640625" style="682" customWidth="1"/>
    <col min="7430" max="7430" width="11.109375" style="682" customWidth="1"/>
    <col min="7431" max="7431" width="10" style="682" customWidth="1"/>
    <col min="7432" max="7432" width="11.109375" style="682" customWidth="1"/>
    <col min="7433" max="7433" width="8.88671875" style="682"/>
    <col min="7434" max="7434" width="9.5546875" style="682" bestFit="1" customWidth="1"/>
    <col min="7435" max="7435" width="8.88671875" style="682"/>
    <col min="7436" max="7436" width="12.6640625" style="682" customWidth="1"/>
    <col min="7437" max="7437" width="8.88671875" style="682"/>
    <col min="7438" max="7439" width="10" style="682" customWidth="1"/>
    <col min="7440" max="7440" width="12.5546875" style="682" customWidth="1"/>
    <col min="7441" max="7442" width="8.88671875" style="682"/>
    <col min="7443" max="7443" width="9.77734375" style="682" customWidth="1"/>
    <col min="7444" max="7680" width="8.88671875" style="682"/>
    <col min="7681" max="7681" width="5.88671875" style="682" customWidth="1"/>
    <col min="7682" max="7682" width="7.33203125" style="682" customWidth="1"/>
    <col min="7683" max="7683" width="39.109375" style="682" customWidth="1"/>
    <col min="7684" max="7684" width="6.109375" style="682" customWidth="1"/>
    <col min="7685" max="7685" width="4.6640625" style="682" customWidth="1"/>
    <col min="7686" max="7686" width="11.109375" style="682" customWidth="1"/>
    <col min="7687" max="7687" width="10" style="682" customWidth="1"/>
    <col min="7688" max="7688" width="11.109375" style="682" customWidth="1"/>
    <col min="7689" max="7689" width="8.88671875" style="682"/>
    <col min="7690" max="7690" width="9.5546875" style="682" bestFit="1" customWidth="1"/>
    <col min="7691" max="7691" width="8.88671875" style="682"/>
    <col min="7692" max="7692" width="12.6640625" style="682" customWidth="1"/>
    <col min="7693" max="7693" width="8.88671875" style="682"/>
    <col min="7694" max="7695" width="10" style="682" customWidth="1"/>
    <col min="7696" max="7696" width="12.5546875" style="682" customWidth="1"/>
    <col min="7697" max="7698" width="8.88671875" style="682"/>
    <col min="7699" max="7699" width="9.77734375" style="682" customWidth="1"/>
    <col min="7700" max="7936" width="8.88671875" style="682"/>
    <col min="7937" max="7937" width="5.88671875" style="682" customWidth="1"/>
    <col min="7938" max="7938" width="7.33203125" style="682" customWidth="1"/>
    <col min="7939" max="7939" width="39.109375" style="682" customWidth="1"/>
    <col min="7940" max="7940" width="6.109375" style="682" customWidth="1"/>
    <col min="7941" max="7941" width="4.6640625" style="682" customWidth="1"/>
    <col min="7942" max="7942" width="11.109375" style="682" customWidth="1"/>
    <col min="7943" max="7943" width="10" style="682" customWidth="1"/>
    <col min="7944" max="7944" width="11.109375" style="682" customWidth="1"/>
    <col min="7945" max="7945" width="8.88671875" style="682"/>
    <col min="7946" max="7946" width="9.5546875" style="682" bestFit="1" customWidth="1"/>
    <col min="7947" max="7947" width="8.88671875" style="682"/>
    <col min="7948" max="7948" width="12.6640625" style="682" customWidth="1"/>
    <col min="7949" max="7949" width="8.88671875" style="682"/>
    <col min="7950" max="7951" width="10" style="682" customWidth="1"/>
    <col min="7952" max="7952" width="12.5546875" style="682" customWidth="1"/>
    <col min="7953" max="7954" width="8.88671875" style="682"/>
    <col min="7955" max="7955" width="9.77734375" style="682" customWidth="1"/>
    <col min="7956" max="8192" width="8.88671875" style="682"/>
    <col min="8193" max="8193" width="5.88671875" style="682" customWidth="1"/>
    <col min="8194" max="8194" width="7.33203125" style="682" customWidth="1"/>
    <col min="8195" max="8195" width="39.109375" style="682" customWidth="1"/>
    <col min="8196" max="8196" width="6.109375" style="682" customWidth="1"/>
    <col min="8197" max="8197" width="4.6640625" style="682" customWidth="1"/>
    <col min="8198" max="8198" width="11.109375" style="682" customWidth="1"/>
    <col min="8199" max="8199" width="10" style="682" customWidth="1"/>
    <col min="8200" max="8200" width="11.109375" style="682" customWidth="1"/>
    <col min="8201" max="8201" width="8.88671875" style="682"/>
    <col min="8202" max="8202" width="9.5546875" style="682" bestFit="1" customWidth="1"/>
    <col min="8203" max="8203" width="8.88671875" style="682"/>
    <col min="8204" max="8204" width="12.6640625" style="682" customWidth="1"/>
    <col min="8205" max="8205" width="8.88671875" style="682"/>
    <col min="8206" max="8207" width="10" style="682" customWidth="1"/>
    <col min="8208" max="8208" width="12.5546875" style="682" customWidth="1"/>
    <col min="8209" max="8210" width="8.88671875" style="682"/>
    <col min="8211" max="8211" width="9.77734375" style="682" customWidth="1"/>
    <col min="8212" max="8448" width="8.88671875" style="682"/>
    <col min="8449" max="8449" width="5.88671875" style="682" customWidth="1"/>
    <col min="8450" max="8450" width="7.33203125" style="682" customWidth="1"/>
    <col min="8451" max="8451" width="39.109375" style="682" customWidth="1"/>
    <col min="8452" max="8452" width="6.109375" style="682" customWidth="1"/>
    <col min="8453" max="8453" width="4.6640625" style="682" customWidth="1"/>
    <col min="8454" max="8454" width="11.109375" style="682" customWidth="1"/>
    <col min="8455" max="8455" width="10" style="682" customWidth="1"/>
    <col min="8456" max="8456" width="11.109375" style="682" customWidth="1"/>
    <col min="8457" max="8457" width="8.88671875" style="682"/>
    <col min="8458" max="8458" width="9.5546875" style="682" bestFit="1" customWidth="1"/>
    <col min="8459" max="8459" width="8.88671875" style="682"/>
    <col min="8460" max="8460" width="12.6640625" style="682" customWidth="1"/>
    <col min="8461" max="8461" width="8.88671875" style="682"/>
    <col min="8462" max="8463" width="10" style="682" customWidth="1"/>
    <col min="8464" max="8464" width="12.5546875" style="682" customWidth="1"/>
    <col min="8465" max="8466" width="8.88671875" style="682"/>
    <col min="8467" max="8467" width="9.77734375" style="682" customWidth="1"/>
    <col min="8468" max="8704" width="8.88671875" style="682"/>
    <col min="8705" max="8705" width="5.88671875" style="682" customWidth="1"/>
    <col min="8706" max="8706" width="7.33203125" style="682" customWidth="1"/>
    <col min="8707" max="8707" width="39.109375" style="682" customWidth="1"/>
    <col min="8708" max="8708" width="6.109375" style="682" customWidth="1"/>
    <col min="8709" max="8709" width="4.6640625" style="682" customWidth="1"/>
    <col min="8710" max="8710" width="11.109375" style="682" customWidth="1"/>
    <col min="8711" max="8711" width="10" style="682" customWidth="1"/>
    <col min="8712" max="8712" width="11.109375" style="682" customWidth="1"/>
    <col min="8713" max="8713" width="8.88671875" style="682"/>
    <col min="8714" max="8714" width="9.5546875" style="682" bestFit="1" customWidth="1"/>
    <col min="8715" max="8715" width="8.88671875" style="682"/>
    <col min="8716" max="8716" width="12.6640625" style="682" customWidth="1"/>
    <col min="8717" max="8717" width="8.88671875" style="682"/>
    <col min="8718" max="8719" width="10" style="682" customWidth="1"/>
    <col min="8720" max="8720" width="12.5546875" style="682" customWidth="1"/>
    <col min="8721" max="8722" width="8.88671875" style="682"/>
    <col min="8723" max="8723" width="9.77734375" style="682" customWidth="1"/>
    <col min="8724" max="8960" width="8.88671875" style="682"/>
    <col min="8961" max="8961" width="5.88671875" style="682" customWidth="1"/>
    <col min="8962" max="8962" width="7.33203125" style="682" customWidth="1"/>
    <col min="8963" max="8963" width="39.109375" style="682" customWidth="1"/>
    <col min="8964" max="8964" width="6.109375" style="682" customWidth="1"/>
    <col min="8965" max="8965" width="4.6640625" style="682" customWidth="1"/>
    <col min="8966" max="8966" width="11.109375" style="682" customWidth="1"/>
    <col min="8967" max="8967" width="10" style="682" customWidth="1"/>
    <col min="8968" max="8968" width="11.109375" style="682" customWidth="1"/>
    <col min="8969" max="8969" width="8.88671875" style="682"/>
    <col min="8970" max="8970" width="9.5546875" style="682" bestFit="1" customWidth="1"/>
    <col min="8971" max="8971" width="8.88671875" style="682"/>
    <col min="8972" max="8972" width="12.6640625" style="682" customWidth="1"/>
    <col min="8973" max="8973" width="8.88671875" style="682"/>
    <col min="8974" max="8975" width="10" style="682" customWidth="1"/>
    <col min="8976" max="8976" width="12.5546875" style="682" customWidth="1"/>
    <col min="8977" max="8978" width="8.88671875" style="682"/>
    <col min="8979" max="8979" width="9.77734375" style="682" customWidth="1"/>
    <col min="8980" max="9216" width="8.88671875" style="682"/>
    <col min="9217" max="9217" width="5.88671875" style="682" customWidth="1"/>
    <col min="9218" max="9218" width="7.33203125" style="682" customWidth="1"/>
    <col min="9219" max="9219" width="39.109375" style="682" customWidth="1"/>
    <col min="9220" max="9220" width="6.109375" style="682" customWidth="1"/>
    <col min="9221" max="9221" width="4.6640625" style="682" customWidth="1"/>
    <col min="9222" max="9222" width="11.109375" style="682" customWidth="1"/>
    <col min="9223" max="9223" width="10" style="682" customWidth="1"/>
    <col min="9224" max="9224" width="11.109375" style="682" customWidth="1"/>
    <col min="9225" max="9225" width="8.88671875" style="682"/>
    <col min="9226" max="9226" width="9.5546875" style="682" bestFit="1" customWidth="1"/>
    <col min="9227" max="9227" width="8.88671875" style="682"/>
    <col min="9228" max="9228" width="12.6640625" style="682" customWidth="1"/>
    <col min="9229" max="9229" width="8.88671875" style="682"/>
    <col min="9230" max="9231" width="10" style="682" customWidth="1"/>
    <col min="9232" max="9232" width="12.5546875" style="682" customWidth="1"/>
    <col min="9233" max="9234" width="8.88671875" style="682"/>
    <col min="9235" max="9235" width="9.77734375" style="682" customWidth="1"/>
    <col min="9236" max="9472" width="8.88671875" style="682"/>
    <col min="9473" max="9473" width="5.88671875" style="682" customWidth="1"/>
    <col min="9474" max="9474" width="7.33203125" style="682" customWidth="1"/>
    <col min="9475" max="9475" width="39.109375" style="682" customWidth="1"/>
    <col min="9476" max="9476" width="6.109375" style="682" customWidth="1"/>
    <col min="9477" max="9477" width="4.6640625" style="682" customWidth="1"/>
    <col min="9478" max="9478" width="11.109375" style="682" customWidth="1"/>
    <col min="9479" max="9479" width="10" style="682" customWidth="1"/>
    <col min="9480" max="9480" width="11.109375" style="682" customWidth="1"/>
    <col min="9481" max="9481" width="8.88671875" style="682"/>
    <col min="9482" max="9482" width="9.5546875" style="682" bestFit="1" customWidth="1"/>
    <col min="9483" max="9483" width="8.88671875" style="682"/>
    <col min="9484" max="9484" width="12.6640625" style="682" customWidth="1"/>
    <col min="9485" max="9485" width="8.88671875" style="682"/>
    <col min="9486" max="9487" width="10" style="682" customWidth="1"/>
    <col min="9488" max="9488" width="12.5546875" style="682" customWidth="1"/>
    <col min="9489" max="9490" width="8.88671875" style="682"/>
    <col min="9491" max="9491" width="9.77734375" style="682" customWidth="1"/>
    <col min="9492" max="9728" width="8.88671875" style="682"/>
    <col min="9729" max="9729" width="5.88671875" style="682" customWidth="1"/>
    <col min="9730" max="9730" width="7.33203125" style="682" customWidth="1"/>
    <col min="9731" max="9731" width="39.109375" style="682" customWidth="1"/>
    <col min="9732" max="9732" width="6.109375" style="682" customWidth="1"/>
    <col min="9733" max="9733" width="4.6640625" style="682" customWidth="1"/>
    <col min="9734" max="9734" width="11.109375" style="682" customWidth="1"/>
    <col min="9735" max="9735" width="10" style="682" customWidth="1"/>
    <col min="9736" max="9736" width="11.109375" style="682" customWidth="1"/>
    <col min="9737" max="9737" width="8.88671875" style="682"/>
    <col min="9738" max="9738" width="9.5546875" style="682" bestFit="1" customWidth="1"/>
    <col min="9739" max="9739" width="8.88671875" style="682"/>
    <col min="9740" max="9740" width="12.6640625" style="682" customWidth="1"/>
    <col min="9741" max="9741" width="8.88671875" style="682"/>
    <col min="9742" max="9743" width="10" style="682" customWidth="1"/>
    <col min="9744" max="9744" width="12.5546875" style="682" customWidth="1"/>
    <col min="9745" max="9746" width="8.88671875" style="682"/>
    <col min="9747" max="9747" width="9.77734375" style="682" customWidth="1"/>
    <col min="9748" max="9984" width="8.88671875" style="682"/>
    <col min="9985" max="9985" width="5.88671875" style="682" customWidth="1"/>
    <col min="9986" max="9986" width="7.33203125" style="682" customWidth="1"/>
    <col min="9987" max="9987" width="39.109375" style="682" customWidth="1"/>
    <col min="9988" max="9988" width="6.109375" style="682" customWidth="1"/>
    <col min="9989" max="9989" width="4.6640625" style="682" customWidth="1"/>
    <col min="9990" max="9990" width="11.109375" style="682" customWidth="1"/>
    <col min="9991" max="9991" width="10" style="682" customWidth="1"/>
    <col min="9992" max="9992" width="11.109375" style="682" customWidth="1"/>
    <col min="9993" max="9993" width="8.88671875" style="682"/>
    <col min="9994" max="9994" width="9.5546875" style="682" bestFit="1" customWidth="1"/>
    <col min="9995" max="9995" width="8.88671875" style="682"/>
    <col min="9996" max="9996" width="12.6640625" style="682" customWidth="1"/>
    <col min="9997" max="9997" width="8.88671875" style="682"/>
    <col min="9998" max="9999" width="10" style="682" customWidth="1"/>
    <col min="10000" max="10000" width="12.5546875" style="682" customWidth="1"/>
    <col min="10001" max="10002" width="8.88671875" style="682"/>
    <col min="10003" max="10003" width="9.77734375" style="682" customWidth="1"/>
    <col min="10004" max="10240" width="8.88671875" style="682"/>
    <col min="10241" max="10241" width="5.88671875" style="682" customWidth="1"/>
    <col min="10242" max="10242" width="7.33203125" style="682" customWidth="1"/>
    <col min="10243" max="10243" width="39.109375" style="682" customWidth="1"/>
    <col min="10244" max="10244" width="6.109375" style="682" customWidth="1"/>
    <col min="10245" max="10245" width="4.6640625" style="682" customWidth="1"/>
    <col min="10246" max="10246" width="11.109375" style="682" customWidth="1"/>
    <col min="10247" max="10247" width="10" style="682" customWidth="1"/>
    <col min="10248" max="10248" width="11.109375" style="682" customWidth="1"/>
    <col min="10249" max="10249" width="8.88671875" style="682"/>
    <col min="10250" max="10250" width="9.5546875" style="682" bestFit="1" customWidth="1"/>
    <col min="10251" max="10251" width="8.88671875" style="682"/>
    <col min="10252" max="10252" width="12.6640625" style="682" customWidth="1"/>
    <col min="10253" max="10253" width="8.88671875" style="682"/>
    <col min="10254" max="10255" width="10" style="682" customWidth="1"/>
    <col min="10256" max="10256" width="12.5546875" style="682" customWidth="1"/>
    <col min="10257" max="10258" width="8.88671875" style="682"/>
    <col min="10259" max="10259" width="9.77734375" style="682" customWidth="1"/>
    <col min="10260" max="10496" width="8.88671875" style="682"/>
    <col min="10497" max="10497" width="5.88671875" style="682" customWidth="1"/>
    <col min="10498" max="10498" width="7.33203125" style="682" customWidth="1"/>
    <col min="10499" max="10499" width="39.109375" style="682" customWidth="1"/>
    <col min="10500" max="10500" width="6.109375" style="682" customWidth="1"/>
    <col min="10501" max="10501" width="4.6640625" style="682" customWidth="1"/>
    <col min="10502" max="10502" width="11.109375" style="682" customWidth="1"/>
    <col min="10503" max="10503" width="10" style="682" customWidth="1"/>
    <col min="10504" max="10504" width="11.109375" style="682" customWidth="1"/>
    <col min="10505" max="10505" width="8.88671875" style="682"/>
    <col min="10506" max="10506" width="9.5546875" style="682" bestFit="1" customWidth="1"/>
    <col min="10507" max="10507" width="8.88671875" style="682"/>
    <col min="10508" max="10508" width="12.6640625" style="682" customWidth="1"/>
    <col min="10509" max="10509" width="8.88671875" style="682"/>
    <col min="10510" max="10511" width="10" style="682" customWidth="1"/>
    <col min="10512" max="10512" width="12.5546875" style="682" customWidth="1"/>
    <col min="10513" max="10514" width="8.88671875" style="682"/>
    <col min="10515" max="10515" width="9.77734375" style="682" customWidth="1"/>
    <col min="10516" max="10752" width="8.88671875" style="682"/>
    <col min="10753" max="10753" width="5.88671875" style="682" customWidth="1"/>
    <col min="10754" max="10754" width="7.33203125" style="682" customWidth="1"/>
    <col min="10755" max="10755" width="39.109375" style="682" customWidth="1"/>
    <col min="10756" max="10756" width="6.109375" style="682" customWidth="1"/>
    <col min="10757" max="10757" width="4.6640625" style="682" customWidth="1"/>
    <col min="10758" max="10758" width="11.109375" style="682" customWidth="1"/>
    <col min="10759" max="10759" width="10" style="682" customWidth="1"/>
    <col min="10760" max="10760" width="11.109375" style="682" customWidth="1"/>
    <col min="10761" max="10761" width="8.88671875" style="682"/>
    <col min="10762" max="10762" width="9.5546875" style="682" bestFit="1" customWidth="1"/>
    <col min="10763" max="10763" width="8.88671875" style="682"/>
    <col min="10764" max="10764" width="12.6640625" style="682" customWidth="1"/>
    <col min="10765" max="10765" width="8.88671875" style="682"/>
    <col min="10766" max="10767" width="10" style="682" customWidth="1"/>
    <col min="10768" max="10768" width="12.5546875" style="682" customWidth="1"/>
    <col min="10769" max="10770" width="8.88671875" style="682"/>
    <col min="10771" max="10771" width="9.77734375" style="682" customWidth="1"/>
    <col min="10772" max="11008" width="8.88671875" style="682"/>
    <col min="11009" max="11009" width="5.88671875" style="682" customWidth="1"/>
    <col min="11010" max="11010" width="7.33203125" style="682" customWidth="1"/>
    <col min="11011" max="11011" width="39.109375" style="682" customWidth="1"/>
    <col min="11012" max="11012" width="6.109375" style="682" customWidth="1"/>
    <col min="11013" max="11013" width="4.6640625" style="682" customWidth="1"/>
    <col min="11014" max="11014" width="11.109375" style="682" customWidth="1"/>
    <col min="11015" max="11015" width="10" style="682" customWidth="1"/>
    <col min="11016" max="11016" width="11.109375" style="682" customWidth="1"/>
    <col min="11017" max="11017" width="8.88671875" style="682"/>
    <col min="11018" max="11018" width="9.5546875" style="682" bestFit="1" customWidth="1"/>
    <col min="11019" max="11019" width="8.88671875" style="682"/>
    <col min="11020" max="11020" width="12.6640625" style="682" customWidth="1"/>
    <col min="11021" max="11021" width="8.88671875" style="682"/>
    <col min="11022" max="11023" width="10" style="682" customWidth="1"/>
    <col min="11024" max="11024" width="12.5546875" style="682" customWidth="1"/>
    <col min="11025" max="11026" width="8.88671875" style="682"/>
    <col min="11027" max="11027" width="9.77734375" style="682" customWidth="1"/>
    <col min="11028" max="11264" width="8.88671875" style="682"/>
    <col min="11265" max="11265" width="5.88671875" style="682" customWidth="1"/>
    <col min="11266" max="11266" width="7.33203125" style="682" customWidth="1"/>
    <col min="11267" max="11267" width="39.109375" style="682" customWidth="1"/>
    <col min="11268" max="11268" width="6.109375" style="682" customWidth="1"/>
    <col min="11269" max="11269" width="4.6640625" style="682" customWidth="1"/>
    <col min="11270" max="11270" width="11.109375" style="682" customWidth="1"/>
    <col min="11271" max="11271" width="10" style="682" customWidth="1"/>
    <col min="11272" max="11272" width="11.109375" style="682" customWidth="1"/>
    <col min="11273" max="11273" width="8.88671875" style="682"/>
    <col min="11274" max="11274" width="9.5546875" style="682" bestFit="1" customWidth="1"/>
    <col min="11275" max="11275" width="8.88671875" style="682"/>
    <col min="11276" max="11276" width="12.6640625" style="682" customWidth="1"/>
    <col min="11277" max="11277" width="8.88671875" style="682"/>
    <col min="11278" max="11279" width="10" style="682" customWidth="1"/>
    <col min="11280" max="11280" width="12.5546875" style="682" customWidth="1"/>
    <col min="11281" max="11282" width="8.88671875" style="682"/>
    <col min="11283" max="11283" width="9.77734375" style="682" customWidth="1"/>
    <col min="11284" max="11520" width="8.88671875" style="682"/>
    <col min="11521" max="11521" width="5.88671875" style="682" customWidth="1"/>
    <col min="11522" max="11522" width="7.33203125" style="682" customWidth="1"/>
    <col min="11523" max="11523" width="39.109375" style="682" customWidth="1"/>
    <col min="11524" max="11524" width="6.109375" style="682" customWidth="1"/>
    <col min="11525" max="11525" width="4.6640625" style="682" customWidth="1"/>
    <col min="11526" max="11526" width="11.109375" style="682" customWidth="1"/>
    <col min="11527" max="11527" width="10" style="682" customWidth="1"/>
    <col min="11528" max="11528" width="11.109375" style="682" customWidth="1"/>
    <col min="11529" max="11529" width="8.88671875" style="682"/>
    <col min="11530" max="11530" width="9.5546875" style="682" bestFit="1" customWidth="1"/>
    <col min="11531" max="11531" width="8.88671875" style="682"/>
    <col min="11532" max="11532" width="12.6640625" style="682" customWidth="1"/>
    <col min="11533" max="11533" width="8.88671875" style="682"/>
    <col min="11534" max="11535" width="10" style="682" customWidth="1"/>
    <col min="11536" max="11536" width="12.5546875" style="682" customWidth="1"/>
    <col min="11537" max="11538" width="8.88671875" style="682"/>
    <col min="11539" max="11539" width="9.77734375" style="682" customWidth="1"/>
    <col min="11540" max="11776" width="8.88671875" style="682"/>
    <col min="11777" max="11777" width="5.88671875" style="682" customWidth="1"/>
    <col min="11778" max="11778" width="7.33203125" style="682" customWidth="1"/>
    <col min="11779" max="11779" width="39.109375" style="682" customWidth="1"/>
    <col min="11780" max="11780" width="6.109375" style="682" customWidth="1"/>
    <col min="11781" max="11781" width="4.6640625" style="682" customWidth="1"/>
    <col min="11782" max="11782" width="11.109375" style="682" customWidth="1"/>
    <col min="11783" max="11783" width="10" style="682" customWidth="1"/>
    <col min="11784" max="11784" width="11.109375" style="682" customWidth="1"/>
    <col min="11785" max="11785" width="8.88671875" style="682"/>
    <col min="11786" max="11786" width="9.5546875" style="682" bestFit="1" customWidth="1"/>
    <col min="11787" max="11787" width="8.88671875" style="682"/>
    <col min="11788" max="11788" width="12.6640625" style="682" customWidth="1"/>
    <col min="11789" max="11789" width="8.88671875" style="682"/>
    <col min="11790" max="11791" width="10" style="682" customWidth="1"/>
    <col min="11792" max="11792" width="12.5546875" style="682" customWidth="1"/>
    <col min="11793" max="11794" width="8.88671875" style="682"/>
    <col min="11795" max="11795" width="9.77734375" style="682" customWidth="1"/>
    <col min="11796" max="12032" width="8.88671875" style="682"/>
    <col min="12033" max="12033" width="5.88671875" style="682" customWidth="1"/>
    <col min="12034" max="12034" width="7.33203125" style="682" customWidth="1"/>
    <col min="12035" max="12035" width="39.109375" style="682" customWidth="1"/>
    <col min="12036" max="12036" width="6.109375" style="682" customWidth="1"/>
    <col min="12037" max="12037" width="4.6640625" style="682" customWidth="1"/>
    <col min="12038" max="12038" width="11.109375" style="682" customWidth="1"/>
    <col min="12039" max="12039" width="10" style="682" customWidth="1"/>
    <col min="12040" max="12040" width="11.109375" style="682" customWidth="1"/>
    <col min="12041" max="12041" width="8.88671875" style="682"/>
    <col min="12042" max="12042" width="9.5546875" style="682" bestFit="1" customWidth="1"/>
    <col min="12043" max="12043" width="8.88671875" style="682"/>
    <col min="12044" max="12044" width="12.6640625" style="682" customWidth="1"/>
    <col min="12045" max="12045" width="8.88671875" style="682"/>
    <col min="12046" max="12047" width="10" style="682" customWidth="1"/>
    <col min="12048" max="12048" width="12.5546875" style="682" customWidth="1"/>
    <col min="12049" max="12050" width="8.88671875" style="682"/>
    <col min="12051" max="12051" width="9.77734375" style="682" customWidth="1"/>
    <col min="12052" max="12288" width="8.88671875" style="682"/>
    <col min="12289" max="12289" width="5.88671875" style="682" customWidth="1"/>
    <col min="12290" max="12290" width="7.33203125" style="682" customWidth="1"/>
    <col min="12291" max="12291" width="39.109375" style="682" customWidth="1"/>
    <col min="12292" max="12292" width="6.109375" style="682" customWidth="1"/>
    <col min="12293" max="12293" width="4.6640625" style="682" customWidth="1"/>
    <col min="12294" max="12294" width="11.109375" style="682" customWidth="1"/>
    <col min="12295" max="12295" width="10" style="682" customWidth="1"/>
    <col min="12296" max="12296" width="11.109375" style="682" customWidth="1"/>
    <col min="12297" max="12297" width="8.88671875" style="682"/>
    <col min="12298" max="12298" width="9.5546875" style="682" bestFit="1" customWidth="1"/>
    <col min="12299" max="12299" width="8.88671875" style="682"/>
    <col min="12300" max="12300" width="12.6640625" style="682" customWidth="1"/>
    <col min="12301" max="12301" width="8.88671875" style="682"/>
    <col min="12302" max="12303" width="10" style="682" customWidth="1"/>
    <col min="12304" max="12304" width="12.5546875" style="682" customWidth="1"/>
    <col min="12305" max="12306" width="8.88671875" style="682"/>
    <col min="12307" max="12307" width="9.77734375" style="682" customWidth="1"/>
    <col min="12308" max="12544" width="8.88671875" style="682"/>
    <col min="12545" max="12545" width="5.88671875" style="682" customWidth="1"/>
    <col min="12546" max="12546" width="7.33203125" style="682" customWidth="1"/>
    <col min="12547" max="12547" width="39.109375" style="682" customWidth="1"/>
    <col min="12548" max="12548" width="6.109375" style="682" customWidth="1"/>
    <col min="12549" max="12549" width="4.6640625" style="682" customWidth="1"/>
    <col min="12550" max="12550" width="11.109375" style="682" customWidth="1"/>
    <col min="12551" max="12551" width="10" style="682" customWidth="1"/>
    <col min="12552" max="12552" width="11.109375" style="682" customWidth="1"/>
    <col min="12553" max="12553" width="8.88671875" style="682"/>
    <col min="12554" max="12554" width="9.5546875" style="682" bestFit="1" customWidth="1"/>
    <col min="12555" max="12555" width="8.88671875" style="682"/>
    <col min="12556" max="12556" width="12.6640625" style="682" customWidth="1"/>
    <col min="12557" max="12557" width="8.88671875" style="682"/>
    <col min="12558" max="12559" width="10" style="682" customWidth="1"/>
    <col min="12560" max="12560" width="12.5546875" style="682" customWidth="1"/>
    <col min="12561" max="12562" width="8.88671875" style="682"/>
    <col min="12563" max="12563" width="9.77734375" style="682" customWidth="1"/>
    <col min="12564" max="12800" width="8.88671875" style="682"/>
    <col min="12801" max="12801" width="5.88671875" style="682" customWidth="1"/>
    <col min="12802" max="12802" width="7.33203125" style="682" customWidth="1"/>
    <col min="12803" max="12803" width="39.109375" style="682" customWidth="1"/>
    <col min="12804" max="12804" width="6.109375" style="682" customWidth="1"/>
    <col min="12805" max="12805" width="4.6640625" style="682" customWidth="1"/>
    <col min="12806" max="12806" width="11.109375" style="682" customWidth="1"/>
    <col min="12807" max="12807" width="10" style="682" customWidth="1"/>
    <col min="12808" max="12808" width="11.109375" style="682" customWidth="1"/>
    <col min="12809" max="12809" width="8.88671875" style="682"/>
    <col min="12810" max="12810" width="9.5546875" style="682" bestFit="1" customWidth="1"/>
    <col min="12811" max="12811" width="8.88671875" style="682"/>
    <col min="12812" max="12812" width="12.6640625" style="682" customWidth="1"/>
    <col min="12813" max="12813" width="8.88671875" style="682"/>
    <col min="12814" max="12815" width="10" style="682" customWidth="1"/>
    <col min="12816" max="12816" width="12.5546875" style="682" customWidth="1"/>
    <col min="12817" max="12818" width="8.88671875" style="682"/>
    <col min="12819" max="12819" width="9.77734375" style="682" customWidth="1"/>
    <col min="12820" max="13056" width="8.88671875" style="682"/>
    <col min="13057" max="13057" width="5.88671875" style="682" customWidth="1"/>
    <col min="13058" max="13058" width="7.33203125" style="682" customWidth="1"/>
    <col min="13059" max="13059" width="39.109375" style="682" customWidth="1"/>
    <col min="13060" max="13060" width="6.109375" style="682" customWidth="1"/>
    <col min="13061" max="13061" width="4.6640625" style="682" customWidth="1"/>
    <col min="13062" max="13062" width="11.109375" style="682" customWidth="1"/>
    <col min="13063" max="13063" width="10" style="682" customWidth="1"/>
    <col min="13064" max="13064" width="11.109375" style="682" customWidth="1"/>
    <col min="13065" max="13065" width="8.88671875" style="682"/>
    <col min="13066" max="13066" width="9.5546875" style="682" bestFit="1" customWidth="1"/>
    <col min="13067" max="13067" width="8.88671875" style="682"/>
    <col min="13068" max="13068" width="12.6640625" style="682" customWidth="1"/>
    <col min="13069" max="13069" width="8.88671875" style="682"/>
    <col min="13070" max="13071" width="10" style="682" customWidth="1"/>
    <col min="13072" max="13072" width="12.5546875" style="682" customWidth="1"/>
    <col min="13073" max="13074" width="8.88671875" style="682"/>
    <col min="13075" max="13075" width="9.77734375" style="682" customWidth="1"/>
    <col min="13076" max="13312" width="8.88671875" style="682"/>
    <col min="13313" max="13313" width="5.88671875" style="682" customWidth="1"/>
    <col min="13314" max="13314" width="7.33203125" style="682" customWidth="1"/>
    <col min="13315" max="13315" width="39.109375" style="682" customWidth="1"/>
    <col min="13316" max="13316" width="6.109375" style="682" customWidth="1"/>
    <col min="13317" max="13317" width="4.6640625" style="682" customWidth="1"/>
    <col min="13318" max="13318" width="11.109375" style="682" customWidth="1"/>
    <col min="13319" max="13319" width="10" style="682" customWidth="1"/>
    <col min="13320" max="13320" width="11.109375" style="682" customWidth="1"/>
    <col min="13321" max="13321" width="8.88671875" style="682"/>
    <col min="13322" max="13322" width="9.5546875" style="682" bestFit="1" customWidth="1"/>
    <col min="13323" max="13323" width="8.88671875" style="682"/>
    <col min="13324" max="13324" width="12.6640625" style="682" customWidth="1"/>
    <col min="13325" max="13325" width="8.88671875" style="682"/>
    <col min="13326" max="13327" width="10" style="682" customWidth="1"/>
    <col min="13328" max="13328" width="12.5546875" style="682" customWidth="1"/>
    <col min="13329" max="13330" width="8.88671875" style="682"/>
    <col min="13331" max="13331" width="9.77734375" style="682" customWidth="1"/>
    <col min="13332" max="13568" width="8.88671875" style="682"/>
    <col min="13569" max="13569" width="5.88671875" style="682" customWidth="1"/>
    <col min="13570" max="13570" width="7.33203125" style="682" customWidth="1"/>
    <col min="13571" max="13571" width="39.109375" style="682" customWidth="1"/>
    <col min="13572" max="13572" width="6.109375" style="682" customWidth="1"/>
    <col min="13573" max="13573" width="4.6640625" style="682" customWidth="1"/>
    <col min="13574" max="13574" width="11.109375" style="682" customWidth="1"/>
    <col min="13575" max="13575" width="10" style="682" customWidth="1"/>
    <col min="13576" max="13576" width="11.109375" style="682" customWidth="1"/>
    <col min="13577" max="13577" width="8.88671875" style="682"/>
    <col min="13578" max="13578" width="9.5546875" style="682" bestFit="1" customWidth="1"/>
    <col min="13579" max="13579" width="8.88671875" style="682"/>
    <col min="13580" max="13580" width="12.6640625" style="682" customWidth="1"/>
    <col min="13581" max="13581" width="8.88671875" style="682"/>
    <col min="13582" max="13583" width="10" style="682" customWidth="1"/>
    <col min="13584" max="13584" width="12.5546875" style="682" customWidth="1"/>
    <col min="13585" max="13586" width="8.88671875" style="682"/>
    <col min="13587" max="13587" width="9.77734375" style="682" customWidth="1"/>
    <col min="13588" max="13824" width="8.88671875" style="682"/>
    <col min="13825" max="13825" width="5.88671875" style="682" customWidth="1"/>
    <col min="13826" max="13826" width="7.33203125" style="682" customWidth="1"/>
    <col min="13827" max="13827" width="39.109375" style="682" customWidth="1"/>
    <col min="13828" max="13828" width="6.109375" style="682" customWidth="1"/>
    <col min="13829" max="13829" width="4.6640625" style="682" customWidth="1"/>
    <col min="13830" max="13830" width="11.109375" style="682" customWidth="1"/>
    <col min="13831" max="13831" width="10" style="682" customWidth="1"/>
    <col min="13832" max="13832" width="11.109375" style="682" customWidth="1"/>
    <col min="13833" max="13833" width="8.88671875" style="682"/>
    <col min="13834" max="13834" width="9.5546875" style="682" bestFit="1" customWidth="1"/>
    <col min="13835" max="13835" width="8.88671875" style="682"/>
    <col min="13836" max="13836" width="12.6640625" style="682" customWidth="1"/>
    <col min="13837" max="13837" width="8.88671875" style="682"/>
    <col min="13838" max="13839" width="10" style="682" customWidth="1"/>
    <col min="13840" max="13840" width="12.5546875" style="682" customWidth="1"/>
    <col min="13841" max="13842" width="8.88671875" style="682"/>
    <col min="13843" max="13843" width="9.77734375" style="682" customWidth="1"/>
    <col min="13844" max="14080" width="8.88671875" style="682"/>
    <col min="14081" max="14081" width="5.88671875" style="682" customWidth="1"/>
    <col min="14082" max="14082" width="7.33203125" style="682" customWidth="1"/>
    <col min="14083" max="14083" width="39.109375" style="682" customWidth="1"/>
    <col min="14084" max="14084" width="6.109375" style="682" customWidth="1"/>
    <col min="14085" max="14085" width="4.6640625" style="682" customWidth="1"/>
    <col min="14086" max="14086" width="11.109375" style="682" customWidth="1"/>
    <col min="14087" max="14087" width="10" style="682" customWidth="1"/>
    <col min="14088" max="14088" width="11.109375" style="682" customWidth="1"/>
    <col min="14089" max="14089" width="8.88671875" style="682"/>
    <col min="14090" max="14090" width="9.5546875" style="682" bestFit="1" customWidth="1"/>
    <col min="14091" max="14091" width="8.88671875" style="682"/>
    <col min="14092" max="14092" width="12.6640625" style="682" customWidth="1"/>
    <col min="14093" max="14093" width="8.88671875" style="682"/>
    <col min="14094" max="14095" width="10" style="682" customWidth="1"/>
    <col min="14096" max="14096" width="12.5546875" style="682" customWidth="1"/>
    <col min="14097" max="14098" width="8.88671875" style="682"/>
    <col min="14099" max="14099" width="9.77734375" style="682" customWidth="1"/>
    <col min="14100" max="14336" width="8.88671875" style="682"/>
    <col min="14337" max="14337" width="5.88671875" style="682" customWidth="1"/>
    <col min="14338" max="14338" width="7.33203125" style="682" customWidth="1"/>
    <col min="14339" max="14339" width="39.109375" style="682" customWidth="1"/>
    <col min="14340" max="14340" width="6.109375" style="682" customWidth="1"/>
    <col min="14341" max="14341" width="4.6640625" style="682" customWidth="1"/>
    <col min="14342" max="14342" width="11.109375" style="682" customWidth="1"/>
    <col min="14343" max="14343" width="10" style="682" customWidth="1"/>
    <col min="14344" max="14344" width="11.109375" style="682" customWidth="1"/>
    <col min="14345" max="14345" width="8.88671875" style="682"/>
    <col min="14346" max="14346" width="9.5546875" style="682" bestFit="1" customWidth="1"/>
    <col min="14347" max="14347" width="8.88671875" style="682"/>
    <col min="14348" max="14348" width="12.6640625" style="682" customWidth="1"/>
    <col min="14349" max="14349" width="8.88671875" style="682"/>
    <col min="14350" max="14351" width="10" style="682" customWidth="1"/>
    <col min="14352" max="14352" width="12.5546875" style="682" customWidth="1"/>
    <col min="14353" max="14354" width="8.88671875" style="682"/>
    <col min="14355" max="14355" width="9.77734375" style="682" customWidth="1"/>
    <col min="14356" max="14592" width="8.88671875" style="682"/>
    <col min="14593" max="14593" width="5.88671875" style="682" customWidth="1"/>
    <col min="14594" max="14594" width="7.33203125" style="682" customWidth="1"/>
    <col min="14595" max="14595" width="39.109375" style="682" customWidth="1"/>
    <col min="14596" max="14596" width="6.109375" style="682" customWidth="1"/>
    <col min="14597" max="14597" width="4.6640625" style="682" customWidth="1"/>
    <col min="14598" max="14598" width="11.109375" style="682" customWidth="1"/>
    <col min="14599" max="14599" width="10" style="682" customWidth="1"/>
    <col min="14600" max="14600" width="11.109375" style="682" customWidth="1"/>
    <col min="14601" max="14601" width="8.88671875" style="682"/>
    <col min="14602" max="14602" width="9.5546875" style="682" bestFit="1" customWidth="1"/>
    <col min="14603" max="14603" width="8.88671875" style="682"/>
    <col min="14604" max="14604" width="12.6640625" style="682" customWidth="1"/>
    <col min="14605" max="14605" width="8.88671875" style="682"/>
    <col min="14606" max="14607" width="10" style="682" customWidth="1"/>
    <col min="14608" max="14608" width="12.5546875" style="682" customWidth="1"/>
    <col min="14609" max="14610" width="8.88671875" style="682"/>
    <col min="14611" max="14611" width="9.77734375" style="682" customWidth="1"/>
    <col min="14612" max="14848" width="8.88671875" style="682"/>
    <col min="14849" max="14849" width="5.88671875" style="682" customWidth="1"/>
    <col min="14850" max="14850" width="7.33203125" style="682" customWidth="1"/>
    <col min="14851" max="14851" width="39.109375" style="682" customWidth="1"/>
    <col min="14852" max="14852" width="6.109375" style="682" customWidth="1"/>
    <col min="14853" max="14853" width="4.6640625" style="682" customWidth="1"/>
    <col min="14854" max="14854" width="11.109375" style="682" customWidth="1"/>
    <col min="14855" max="14855" width="10" style="682" customWidth="1"/>
    <col min="14856" max="14856" width="11.109375" style="682" customWidth="1"/>
    <col min="14857" max="14857" width="8.88671875" style="682"/>
    <col min="14858" max="14858" width="9.5546875" style="682" bestFit="1" customWidth="1"/>
    <col min="14859" max="14859" width="8.88671875" style="682"/>
    <col min="14860" max="14860" width="12.6640625" style="682" customWidth="1"/>
    <col min="14861" max="14861" width="8.88671875" style="682"/>
    <col min="14862" max="14863" width="10" style="682" customWidth="1"/>
    <col min="14864" max="14864" width="12.5546875" style="682" customWidth="1"/>
    <col min="14865" max="14866" width="8.88671875" style="682"/>
    <col min="14867" max="14867" width="9.77734375" style="682" customWidth="1"/>
    <col min="14868" max="15104" width="8.88671875" style="682"/>
    <col min="15105" max="15105" width="5.88671875" style="682" customWidth="1"/>
    <col min="15106" max="15106" width="7.33203125" style="682" customWidth="1"/>
    <col min="15107" max="15107" width="39.109375" style="682" customWidth="1"/>
    <col min="15108" max="15108" width="6.109375" style="682" customWidth="1"/>
    <col min="15109" max="15109" width="4.6640625" style="682" customWidth="1"/>
    <col min="15110" max="15110" width="11.109375" style="682" customWidth="1"/>
    <col min="15111" max="15111" width="10" style="682" customWidth="1"/>
    <col min="15112" max="15112" width="11.109375" style="682" customWidth="1"/>
    <col min="15113" max="15113" width="8.88671875" style="682"/>
    <col min="15114" max="15114" width="9.5546875" style="682" bestFit="1" customWidth="1"/>
    <col min="15115" max="15115" width="8.88671875" style="682"/>
    <col min="15116" max="15116" width="12.6640625" style="682" customWidth="1"/>
    <col min="15117" max="15117" width="8.88671875" style="682"/>
    <col min="15118" max="15119" width="10" style="682" customWidth="1"/>
    <col min="15120" max="15120" width="12.5546875" style="682" customWidth="1"/>
    <col min="15121" max="15122" width="8.88671875" style="682"/>
    <col min="15123" max="15123" width="9.77734375" style="682" customWidth="1"/>
    <col min="15124" max="15360" width="8.88671875" style="682"/>
    <col min="15361" max="15361" width="5.88671875" style="682" customWidth="1"/>
    <col min="15362" max="15362" width="7.33203125" style="682" customWidth="1"/>
    <col min="15363" max="15363" width="39.109375" style="682" customWidth="1"/>
    <col min="15364" max="15364" width="6.109375" style="682" customWidth="1"/>
    <col min="15365" max="15365" width="4.6640625" style="682" customWidth="1"/>
    <col min="15366" max="15366" width="11.109375" style="682" customWidth="1"/>
    <col min="15367" max="15367" width="10" style="682" customWidth="1"/>
    <col min="15368" max="15368" width="11.109375" style="682" customWidth="1"/>
    <col min="15369" max="15369" width="8.88671875" style="682"/>
    <col min="15370" max="15370" width="9.5546875" style="682" bestFit="1" customWidth="1"/>
    <col min="15371" max="15371" width="8.88671875" style="682"/>
    <col min="15372" max="15372" width="12.6640625" style="682" customWidth="1"/>
    <col min="15373" max="15373" width="8.88671875" style="682"/>
    <col min="15374" max="15375" width="10" style="682" customWidth="1"/>
    <col min="15376" max="15376" width="12.5546875" style="682" customWidth="1"/>
    <col min="15377" max="15378" width="8.88671875" style="682"/>
    <col min="15379" max="15379" width="9.77734375" style="682" customWidth="1"/>
    <col min="15380" max="15616" width="8.88671875" style="682"/>
    <col min="15617" max="15617" width="5.88671875" style="682" customWidth="1"/>
    <col min="15618" max="15618" width="7.33203125" style="682" customWidth="1"/>
    <col min="15619" max="15619" width="39.109375" style="682" customWidth="1"/>
    <col min="15620" max="15620" width="6.109375" style="682" customWidth="1"/>
    <col min="15621" max="15621" width="4.6640625" style="682" customWidth="1"/>
    <col min="15622" max="15622" width="11.109375" style="682" customWidth="1"/>
    <col min="15623" max="15623" width="10" style="682" customWidth="1"/>
    <col min="15624" max="15624" width="11.109375" style="682" customWidth="1"/>
    <col min="15625" max="15625" width="8.88671875" style="682"/>
    <col min="15626" max="15626" width="9.5546875" style="682" bestFit="1" customWidth="1"/>
    <col min="15627" max="15627" width="8.88671875" style="682"/>
    <col min="15628" max="15628" width="12.6640625" style="682" customWidth="1"/>
    <col min="15629" max="15629" width="8.88671875" style="682"/>
    <col min="15630" max="15631" width="10" style="682" customWidth="1"/>
    <col min="15632" max="15632" width="12.5546875" style="682" customWidth="1"/>
    <col min="15633" max="15634" width="8.88671875" style="682"/>
    <col min="15635" max="15635" width="9.77734375" style="682" customWidth="1"/>
    <col min="15636" max="15872" width="8.88671875" style="682"/>
    <col min="15873" max="15873" width="5.88671875" style="682" customWidth="1"/>
    <col min="15874" max="15874" width="7.33203125" style="682" customWidth="1"/>
    <col min="15875" max="15875" width="39.109375" style="682" customWidth="1"/>
    <col min="15876" max="15876" width="6.109375" style="682" customWidth="1"/>
    <col min="15877" max="15877" width="4.6640625" style="682" customWidth="1"/>
    <col min="15878" max="15878" width="11.109375" style="682" customWidth="1"/>
    <col min="15879" max="15879" width="10" style="682" customWidth="1"/>
    <col min="15880" max="15880" width="11.109375" style="682" customWidth="1"/>
    <col min="15881" max="15881" width="8.88671875" style="682"/>
    <col min="15882" max="15882" width="9.5546875" style="682" bestFit="1" customWidth="1"/>
    <col min="15883" max="15883" width="8.88671875" style="682"/>
    <col min="15884" max="15884" width="12.6640625" style="682" customWidth="1"/>
    <col min="15885" max="15885" width="8.88671875" style="682"/>
    <col min="15886" max="15887" width="10" style="682" customWidth="1"/>
    <col min="15888" max="15888" width="12.5546875" style="682" customWidth="1"/>
    <col min="15889" max="15890" width="8.88671875" style="682"/>
    <col min="15891" max="15891" width="9.77734375" style="682" customWidth="1"/>
    <col min="15892" max="16128" width="8.88671875" style="682"/>
    <col min="16129" max="16129" width="5.88671875" style="682" customWidth="1"/>
    <col min="16130" max="16130" width="7.33203125" style="682" customWidth="1"/>
    <col min="16131" max="16131" width="39.109375" style="682" customWidth="1"/>
    <col min="16132" max="16132" width="6.109375" style="682" customWidth="1"/>
    <col min="16133" max="16133" width="4.6640625" style="682" customWidth="1"/>
    <col min="16134" max="16134" width="11.109375" style="682" customWidth="1"/>
    <col min="16135" max="16135" width="10" style="682" customWidth="1"/>
    <col min="16136" max="16136" width="11.109375" style="682" customWidth="1"/>
    <col min="16137" max="16137" width="8.88671875" style="682"/>
    <col min="16138" max="16138" width="9.5546875" style="682" bestFit="1" customWidth="1"/>
    <col min="16139" max="16139" width="8.88671875" style="682"/>
    <col min="16140" max="16140" width="12.6640625" style="682" customWidth="1"/>
    <col min="16141" max="16141" width="8.88671875" style="682"/>
    <col min="16142" max="16143" width="10" style="682" customWidth="1"/>
    <col min="16144" max="16144" width="12.5546875" style="682" customWidth="1"/>
    <col min="16145" max="16146" width="8.88671875" style="682"/>
    <col min="16147" max="16147" width="9.77734375" style="682" customWidth="1"/>
    <col min="16148" max="16384" width="8.88671875" style="682"/>
  </cols>
  <sheetData>
    <row r="1" spans="1:9" ht="21.75" customHeight="1">
      <c r="A1" s="1012" t="s">
        <v>6367</v>
      </c>
      <c r="B1" s="1012"/>
      <c r="C1" s="1012"/>
      <c r="D1" s="1012"/>
      <c r="E1" s="1012"/>
      <c r="F1" s="1012"/>
    </row>
    <row r="2" spans="1:9" ht="21" customHeight="1">
      <c r="A2" s="1012" t="s">
        <v>6432</v>
      </c>
      <c r="B2" s="1012"/>
      <c r="C2" s="1012"/>
      <c r="D2" s="1012"/>
      <c r="E2" s="1012"/>
      <c r="F2" s="1012"/>
    </row>
    <row r="3" spans="1:9" ht="12" customHeight="1">
      <c r="A3" s="733"/>
      <c r="B3" s="696"/>
      <c r="C3" s="691"/>
      <c r="D3" s="701"/>
      <c r="E3" s="702"/>
      <c r="F3" s="696"/>
    </row>
    <row r="4" spans="1:9" ht="28.5" customHeight="1">
      <c r="A4" s="1013" t="s">
        <v>6363</v>
      </c>
      <c r="B4" s="1014"/>
      <c r="C4" s="1014"/>
      <c r="D4" s="1014"/>
      <c r="E4" s="1014"/>
      <c r="F4" s="1014"/>
    </row>
    <row r="5" spans="1:9" ht="34.5" customHeight="1">
      <c r="A5" s="1015" t="s">
        <v>6368</v>
      </c>
      <c r="B5" s="1015"/>
      <c r="C5" s="1016" t="s">
        <v>6433</v>
      </c>
      <c r="D5" s="1016"/>
      <c r="E5" s="1016"/>
      <c r="F5" s="1016"/>
      <c r="G5" s="686"/>
      <c r="H5" s="686"/>
      <c r="I5" s="686"/>
    </row>
    <row r="6" spans="1:9" ht="27" customHeight="1">
      <c r="A6" s="710" t="s">
        <v>6369</v>
      </c>
      <c r="B6" s="711" t="s">
        <v>1038</v>
      </c>
      <c r="C6" s="711" t="s">
        <v>1777</v>
      </c>
      <c r="D6" s="712" t="s">
        <v>97</v>
      </c>
      <c r="E6" s="713" t="s">
        <v>222</v>
      </c>
      <c r="F6" s="711" t="s">
        <v>974</v>
      </c>
    </row>
    <row r="7" spans="1:9" s="687" customFormat="1" ht="87" hidden="1" customHeight="1">
      <c r="A7" s="734">
        <v>2</v>
      </c>
      <c r="B7" s="714">
        <f>[6]Puduppalayam!H31</f>
        <v>0</v>
      </c>
      <c r="C7" s="715" t="str">
        <f>[6]Puduppalayam!B23</f>
        <v>Weathering Course with concrete broken brick jelly 20mm gauge in pure burnt stone lime slaked and screened (No Sand) over RCC Roof Slab with proportion of brick jelly to lime (fat lime) being 32: 12 1/2 by volume well beaten with wooden beaters for giving</v>
      </c>
      <c r="D7" s="716">
        <v>2120.33</v>
      </c>
      <c r="E7" s="717" t="s">
        <v>2151</v>
      </c>
      <c r="F7" s="714">
        <f t="shared" ref="F7:F69" si="0">B7*D7</f>
        <v>0</v>
      </c>
    </row>
    <row r="8" spans="1:9" s="687" customFormat="1" ht="122.25" customHeight="1">
      <c r="A8" s="734">
        <v>1</v>
      </c>
      <c r="B8" s="714">
        <f>Detail!H26</f>
        <v>38</v>
      </c>
      <c r="C8" s="715" t="str">
        <f>[7]Thandrampattu!B22</f>
        <v>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v>
      </c>
      <c r="D8" s="716">
        <f>Data!K1639</f>
        <v>343.11</v>
      </c>
      <c r="E8" s="717" t="s">
        <v>826</v>
      </c>
      <c r="F8" s="714">
        <f t="shared" si="0"/>
        <v>13038.18</v>
      </c>
    </row>
    <row r="9" spans="1:9" s="687" customFormat="1" ht="64.5" hidden="1" customHeight="1">
      <c r="A9" s="734">
        <v>2</v>
      </c>
      <c r="B9" s="714"/>
      <c r="C9" s="715" t="s">
        <v>6434</v>
      </c>
      <c r="D9" s="716"/>
      <c r="E9" s="717" t="s">
        <v>2151</v>
      </c>
      <c r="F9" s="714">
        <f t="shared" si="0"/>
        <v>0</v>
      </c>
    </row>
    <row r="10" spans="1:9" s="687" customFormat="1" ht="137.25" customHeight="1">
      <c r="A10" s="735">
        <f>A8+1</f>
        <v>2</v>
      </c>
      <c r="B10" s="714"/>
      <c r="C10" s="718" t="s">
        <v>6435</v>
      </c>
      <c r="D10" s="716"/>
      <c r="E10" s="717"/>
      <c r="F10" s="714">
        <f t="shared" si="0"/>
        <v>0</v>
      </c>
    </row>
    <row r="11" spans="1:9" s="687" customFormat="1" ht="43.5" customHeight="1">
      <c r="A11" s="735"/>
      <c r="B11" s="717">
        <f>Detail!H30</f>
        <v>24</v>
      </c>
      <c r="C11" s="718" t="s">
        <v>6436</v>
      </c>
      <c r="D11" s="719">
        <f>Data!K1891</f>
        <v>252.01</v>
      </c>
      <c r="E11" s="717" t="s">
        <v>826</v>
      </c>
      <c r="F11" s="714">
        <f t="shared" si="0"/>
        <v>6048.24</v>
      </c>
    </row>
    <row r="12" spans="1:9" s="687" customFormat="1" ht="43.5" customHeight="1">
      <c r="A12" s="735"/>
      <c r="B12" s="717">
        <f>Detail!H33</f>
        <v>80</v>
      </c>
      <c r="C12" s="718" t="s">
        <v>6437</v>
      </c>
      <c r="D12" s="719">
        <f>Data!K1883</f>
        <v>234.4</v>
      </c>
      <c r="E12" s="717" t="s">
        <v>826</v>
      </c>
      <c r="F12" s="714">
        <f t="shared" si="0"/>
        <v>18752</v>
      </c>
    </row>
    <row r="13" spans="1:9" s="687" customFormat="1" ht="43.5" customHeight="1">
      <c r="A13" s="735"/>
      <c r="B13" s="717">
        <f>Detail!H36</f>
        <v>8</v>
      </c>
      <c r="C13" s="718" t="s">
        <v>6438</v>
      </c>
      <c r="D13" s="719">
        <f>Data!K1875</f>
        <v>229.61</v>
      </c>
      <c r="E13" s="717" t="s">
        <v>826</v>
      </c>
      <c r="F13" s="714">
        <f t="shared" si="0"/>
        <v>1836.88</v>
      </c>
    </row>
    <row r="14" spans="1:9" s="687" customFormat="1" ht="241.5" customHeight="1">
      <c r="A14" s="734">
        <f>A10+1</f>
        <v>3</v>
      </c>
      <c r="B14" s="714">
        <f>Detail!H39</f>
        <v>3.15</v>
      </c>
      <c r="C14" s="715" t="s">
        <v>6492</v>
      </c>
      <c r="D14" s="716">
        <f>Data!C705</f>
        <v>3325</v>
      </c>
      <c r="E14" s="717" t="s">
        <v>2283</v>
      </c>
      <c r="F14" s="714">
        <f t="shared" si="0"/>
        <v>10473.75</v>
      </c>
    </row>
    <row r="15" spans="1:9" s="687" customFormat="1" ht="104.25" customHeight="1">
      <c r="A15" s="734">
        <f t="shared" ref="A15:A22" si="1">A14+1</f>
        <v>4</v>
      </c>
      <c r="B15" s="714">
        <f>Detail!H42</f>
        <v>2.2000000000000002</v>
      </c>
      <c r="C15" s="715" t="s">
        <v>6439</v>
      </c>
      <c r="D15" s="716">
        <f>Data!R1273</f>
        <v>1260.99</v>
      </c>
      <c r="E15" s="717" t="s">
        <v>2283</v>
      </c>
      <c r="F15" s="714">
        <f t="shared" si="0"/>
        <v>2774.18</v>
      </c>
    </row>
    <row r="16" spans="1:9" s="687" customFormat="1" ht="62.25" customHeight="1">
      <c r="A16" s="734">
        <f t="shared" si="1"/>
        <v>5</v>
      </c>
      <c r="B16" s="714">
        <f>Detail!H47</f>
        <v>5.0199999999999996</v>
      </c>
      <c r="C16" s="715" t="s">
        <v>6493</v>
      </c>
      <c r="D16" s="716">
        <f>Data!K1265</f>
        <v>1217.55</v>
      </c>
      <c r="E16" s="717" t="s">
        <v>2283</v>
      </c>
      <c r="F16" s="714">
        <f t="shared" si="0"/>
        <v>6112.1</v>
      </c>
    </row>
    <row r="17" spans="1:8" s="687" customFormat="1" ht="62.25" customHeight="1">
      <c r="A17" s="734">
        <f t="shared" si="1"/>
        <v>6</v>
      </c>
      <c r="B17" s="714">
        <f>Detail!H53</f>
        <v>41.95</v>
      </c>
      <c r="C17" s="715" t="s">
        <v>6496</v>
      </c>
      <c r="D17" s="716">
        <f>Data!K1279</f>
        <v>1380.17</v>
      </c>
      <c r="E17" s="717" t="s">
        <v>2283</v>
      </c>
      <c r="F17" s="714">
        <f t="shared" si="0"/>
        <v>57898.13</v>
      </c>
    </row>
    <row r="18" spans="1:8" s="687" customFormat="1" ht="66" customHeight="1">
      <c r="A18" s="735">
        <f t="shared" si="1"/>
        <v>7</v>
      </c>
      <c r="B18" s="717">
        <f>Detail!H60</f>
        <v>178.8</v>
      </c>
      <c r="C18" s="715" t="s">
        <v>6440</v>
      </c>
      <c r="D18" s="719">
        <f>Data!K1401</f>
        <v>256.69</v>
      </c>
      <c r="E18" s="717" t="s">
        <v>2283</v>
      </c>
      <c r="F18" s="714">
        <f t="shared" si="0"/>
        <v>45896.17</v>
      </c>
    </row>
    <row r="19" spans="1:8" s="687" customFormat="1" ht="39.75" customHeight="1">
      <c r="A19" s="735">
        <f t="shared" si="1"/>
        <v>8</v>
      </c>
      <c r="B19" s="714">
        <f>Detail!H72</f>
        <v>106.59</v>
      </c>
      <c r="C19" s="715" t="s">
        <v>6486</v>
      </c>
      <c r="D19" s="716">
        <v>23.2</v>
      </c>
      <c r="E19" s="717" t="s">
        <v>2283</v>
      </c>
      <c r="F19" s="714">
        <f t="shared" si="0"/>
        <v>2472.89</v>
      </c>
    </row>
    <row r="20" spans="1:8" s="687" customFormat="1" ht="110.25" customHeight="1">
      <c r="A20" s="734">
        <f t="shared" si="1"/>
        <v>9</v>
      </c>
      <c r="B20" s="714">
        <f>Detail!H84</f>
        <v>106.59</v>
      </c>
      <c r="C20" s="715" t="s">
        <v>6400</v>
      </c>
      <c r="D20" s="716">
        <f>Data!K1366</f>
        <v>1197.92</v>
      </c>
      <c r="E20" s="717" t="s">
        <v>2283</v>
      </c>
      <c r="F20" s="714">
        <f t="shared" si="0"/>
        <v>127686.29</v>
      </c>
    </row>
    <row r="21" spans="1:8" s="687" customFormat="1" ht="70.5" customHeight="1">
      <c r="A21" s="734">
        <f t="shared" si="1"/>
        <v>10</v>
      </c>
      <c r="B21" s="714">
        <f>Detail!H88</f>
        <v>2</v>
      </c>
      <c r="C21" s="718" t="s">
        <v>6483</v>
      </c>
      <c r="D21" s="716">
        <v>3343.44</v>
      </c>
      <c r="E21" s="717" t="s">
        <v>1398</v>
      </c>
      <c r="F21" s="714">
        <f t="shared" si="0"/>
        <v>6686.88</v>
      </c>
    </row>
    <row r="22" spans="1:8" s="687" customFormat="1" ht="132.75" customHeight="1">
      <c r="A22" s="735">
        <f t="shared" si="1"/>
        <v>11</v>
      </c>
      <c r="B22" s="714"/>
      <c r="C22" s="715" t="s">
        <v>6402</v>
      </c>
      <c r="D22" s="716"/>
      <c r="E22" s="717"/>
      <c r="F22" s="714">
        <f t="shared" si="0"/>
        <v>0</v>
      </c>
    </row>
    <row r="23" spans="1:8" s="687" customFormat="1" ht="29.25" customHeight="1">
      <c r="A23" s="735"/>
      <c r="B23" s="714">
        <f>Detail!H92</f>
        <v>6</v>
      </c>
      <c r="C23" s="715" t="s">
        <v>6442</v>
      </c>
      <c r="D23" s="716">
        <f>Data!K2262</f>
        <v>1692.1</v>
      </c>
      <c r="E23" s="717" t="s">
        <v>1398</v>
      </c>
      <c r="F23" s="714">
        <f t="shared" si="0"/>
        <v>10152.6</v>
      </c>
    </row>
    <row r="24" spans="1:8" s="687" customFormat="1" ht="29.25" customHeight="1">
      <c r="A24" s="735"/>
      <c r="B24" s="714">
        <f>Detail!H95</f>
        <v>4</v>
      </c>
      <c r="C24" s="715" t="s">
        <v>6443</v>
      </c>
      <c r="D24" s="716">
        <f>Data!K2263</f>
        <v>1695.1</v>
      </c>
      <c r="E24" s="717" t="s">
        <v>1398</v>
      </c>
      <c r="F24" s="714">
        <f t="shared" si="0"/>
        <v>6780.4</v>
      </c>
    </row>
    <row r="25" spans="1:8" s="687" customFormat="1" ht="36" customHeight="1">
      <c r="A25" s="735">
        <f>A22+1</f>
        <v>12</v>
      </c>
      <c r="B25" s="714">
        <f>Detail!H98</f>
        <v>3</v>
      </c>
      <c r="C25" s="715" t="s">
        <v>6495</v>
      </c>
      <c r="D25" s="716">
        <f>Elec.Data!Y807</f>
        <v>4121.67</v>
      </c>
      <c r="E25" s="717" t="s">
        <v>1398</v>
      </c>
      <c r="F25" s="714">
        <f t="shared" si="0"/>
        <v>12365.01</v>
      </c>
    </row>
    <row r="26" spans="1:8" s="687" customFormat="1" ht="99.75" customHeight="1">
      <c r="A26" s="735">
        <f>A25+1</f>
        <v>13</v>
      </c>
      <c r="B26" s="714">
        <f>Detail!H101</f>
        <v>4</v>
      </c>
      <c r="C26" s="715" t="s">
        <v>6444</v>
      </c>
      <c r="D26" s="716">
        <v>1552.7</v>
      </c>
      <c r="E26" s="717" t="s">
        <v>1398</v>
      </c>
      <c r="F26" s="714">
        <f t="shared" si="0"/>
        <v>6210.8</v>
      </c>
    </row>
    <row r="27" spans="1:8" s="687" customFormat="1" ht="55.5" customHeight="1">
      <c r="A27" s="735">
        <f>A26+1</f>
        <v>14</v>
      </c>
      <c r="B27" s="714">
        <f>Detail!H104</f>
        <v>4</v>
      </c>
      <c r="C27" s="715" t="s">
        <v>6370</v>
      </c>
      <c r="D27" s="716">
        <v>601.20000000000005</v>
      </c>
      <c r="E27" s="717" t="s">
        <v>1398</v>
      </c>
      <c r="F27" s="714">
        <f t="shared" si="0"/>
        <v>2404.8000000000002</v>
      </c>
    </row>
    <row r="28" spans="1:8" s="687" customFormat="1" ht="92.25" customHeight="1">
      <c r="A28" s="734">
        <f>A27+1</f>
        <v>15</v>
      </c>
      <c r="B28" s="714">
        <f>Detail!H109</f>
        <v>8.49</v>
      </c>
      <c r="C28" s="715" t="s">
        <v>6445</v>
      </c>
      <c r="D28" s="716">
        <f>building!C306</f>
        <v>835.7</v>
      </c>
      <c r="E28" s="717" t="s">
        <v>2283</v>
      </c>
      <c r="F28" s="714">
        <f t="shared" si="0"/>
        <v>7095.09</v>
      </c>
    </row>
    <row r="29" spans="1:8" s="687" customFormat="1" ht="75" customHeight="1">
      <c r="A29" s="735">
        <f>A28+1</f>
        <v>16</v>
      </c>
      <c r="B29" s="717">
        <f>Detail!H113</f>
        <v>4</v>
      </c>
      <c r="C29" s="715" t="s">
        <v>6446</v>
      </c>
      <c r="D29" s="719">
        <f>Data!AF3116</f>
        <v>488</v>
      </c>
      <c r="E29" s="717" t="s">
        <v>1398</v>
      </c>
      <c r="F29" s="714">
        <f t="shared" si="0"/>
        <v>1952</v>
      </c>
    </row>
    <row r="30" spans="1:8" s="687" customFormat="1" ht="39.75" hidden="1" customHeight="1">
      <c r="A30" s="735">
        <v>19</v>
      </c>
      <c r="B30" s="717"/>
      <c r="C30" s="715" t="s">
        <v>6447</v>
      </c>
      <c r="D30" s="719"/>
      <c r="E30" s="717" t="s">
        <v>1398</v>
      </c>
      <c r="F30" s="714">
        <f t="shared" si="0"/>
        <v>0</v>
      </c>
    </row>
    <row r="31" spans="1:8" s="687" customFormat="1" ht="53.25" hidden="1" customHeight="1">
      <c r="A31" s="735">
        <v>20</v>
      </c>
      <c r="B31" s="720"/>
      <c r="C31" s="718" t="s">
        <v>6448</v>
      </c>
      <c r="D31" s="721"/>
      <c r="E31" s="720"/>
      <c r="F31" s="714">
        <f t="shared" si="0"/>
        <v>0</v>
      </c>
      <c r="H31" s="688"/>
    </row>
    <row r="32" spans="1:8" s="687" customFormat="1" ht="30" hidden="1" customHeight="1">
      <c r="A32" s="735"/>
      <c r="B32" s="720"/>
      <c r="C32" s="718" t="s">
        <v>6449</v>
      </c>
      <c r="D32" s="721"/>
      <c r="E32" s="720" t="s">
        <v>826</v>
      </c>
      <c r="F32" s="714">
        <f t="shared" si="0"/>
        <v>0</v>
      </c>
      <c r="H32" s="688"/>
    </row>
    <row r="33" spans="1:16" s="687" customFormat="1" ht="30" hidden="1" customHeight="1">
      <c r="A33" s="735"/>
      <c r="B33" s="720"/>
      <c r="C33" s="718" t="s">
        <v>6450</v>
      </c>
      <c r="D33" s="721"/>
      <c r="E33" s="720" t="s">
        <v>826</v>
      </c>
      <c r="F33" s="714">
        <f t="shared" si="0"/>
        <v>0</v>
      </c>
      <c r="H33" s="688"/>
    </row>
    <row r="34" spans="1:16" s="687" customFormat="1" ht="53.25" hidden="1" customHeight="1">
      <c r="A34" s="735">
        <v>11</v>
      </c>
      <c r="B34" s="720"/>
      <c r="C34" s="718" t="s">
        <v>6401</v>
      </c>
      <c r="D34" s="721"/>
      <c r="E34" s="720" t="s">
        <v>826</v>
      </c>
      <c r="F34" s="714">
        <f t="shared" si="0"/>
        <v>0</v>
      </c>
      <c r="H34" s="688"/>
    </row>
    <row r="35" spans="1:16" s="687" customFormat="1" ht="69" hidden="1" customHeight="1">
      <c r="A35" s="735">
        <v>12</v>
      </c>
      <c r="B35" s="714"/>
      <c r="C35" s="715" t="s">
        <v>6451</v>
      </c>
      <c r="D35" s="716"/>
      <c r="E35" s="717" t="s">
        <v>1398</v>
      </c>
      <c r="F35" s="714">
        <f t="shared" si="0"/>
        <v>0</v>
      </c>
    </row>
    <row r="36" spans="1:16" s="687" customFormat="1" ht="114.75" hidden="1" customHeight="1">
      <c r="A36" s="735">
        <v>13</v>
      </c>
      <c r="B36" s="720"/>
      <c r="C36" s="718" t="s">
        <v>6452</v>
      </c>
      <c r="D36" s="721"/>
      <c r="E36" s="720" t="s">
        <v>1398</v>
      </c>
      <c r="F36" s="714">
        <f t="shared" si="0"/>
        <v>0</v>
      </c>
      <c r="H36" s="688"/>
    </row>
    <row r="37" spans="1:16" s="687" customFormat="1" ht="78" customHeight="1">
      <c r="A37" s="735">
        <f>A29+1</f>
        <v>17</v>
      </c>
      <c r="B37" s="717">
        <f>Detail!H117</f>
        <v>2</v>
      </c>
      <c r="C37" s="715" t="s">
        <v>6453</v>
      </c>
      <c r="D37" s="719">
        <f>Data!AH3116</f>
        <v>440</v>
      </c>
      <c r="E37" s="717" t="s">
        <v>1398</v>
      </c>
      <c r="F37" s="714">
        <f t="shared" si="0"/>
        <v>880</v>
      </c>
    </row>
    <row r="38" spans="1:16" s="687" customFormat="1" ht="39.75" hidden="1" customHeight="1">
      <c r="A38" s="735">
        <v>19</v>
      </c>
      <c r="B38" s="717"/>
      <c r="C38" s="715" t="s">
        <v>6447</v>
      </c>
      <c r="D38" s="719"/>
      <c r="E38" s="717" t="s">
        <v>1398</v>
      </c>
      <c r="F38" s="714">
        <f t="shared" si="0"/>
        <v>0</v>
      </c>
    </row>
    <row r="39" spans="1:16" s="687" customFormat="1" ht="53.25" hidden="1" customHeight="1">
      <c r="A39" s="735">
        <v>20</v>
      </c>
      <c r="B39" s="720"/>
      <c r="C39" s="718" t="s">
        <v>6448</v>
      </c>
      <c r="D39" s="721"/>
      <c r="E39" s="720"/>
      <c r="F39" s="714">
        <f t="shared" si="0"/>
        <v>0</v>
      </c>
      <c r="H39" s="688"/>
    </row>
    <row r="40" spans="1:16" s="687" customFormat="1" ht="30" hidden="1" customHeight="1">
      <c r="A40" s="735"/>
      <c r="B40" s="720"/>
      <c r="C40" s="718" t="s">
        <v>6449</v>
      </c>
      <c r="D40" s="721"/>
      <c r="E40" s="720" t="s">
        <v>826</v>
      </c>
      <c r="F40" s="714">
        <f t="shared" si="0"/>
        <v>0</v>
      </c>
      <c r="H40" s="688"/>
    </row>
    <row r="41" spans="1:16" s="687" customFormat="1" ht="30" hidden="1" customHeight="1">
      <c r="A41" s="735"/>
      <c r="B41" s="720"/>
      <c r="C41" s="718" t="s">
        <v>6450</v>
      </c>
      <c r="D41" s="721"/>
      <c r="E41" s="720" t="s">
        <v>826</v>
      </c>
      <c r="F41" s="714">
        <f t="shared" si="0"/>
        <v>0</v>
      </c>
      <c r="H41" s="688"/>
    </row>
    <row r="42" spans="1:16" s="687" customFormat="1" ht="53.25" hidden="1" customHeight="1">
      <c r="A42" s="735">
        <v>11</v>
      </c>
      <c r="B42" s="720"/>
      <c r="C42" s="718" t="s">
        <v>6401</v>
      </c>
      <c r="D42" s="721"/>
      <c r="E42" s="720" t="s">
        <v>826</v>
      </c>
      <c r="F42" s="714">
        <f t="shared" si="0"/>
        <v>0</v>
      </c>
      <c r="H42" s="688"/>
    </row>
    <row r="43" spans="1:16" s="687" customFormat="1" ht="69" hidden="1" customHeight="1">
      <c r="A43" s="735">
        <v>12</v>
      </c>
      <c r="B43" s="714"/>
      <c r="C43" s="715" t="s">
        <v>6451</v>
      </c>
      <c r="D43" s="716"/>
      <c r="E43" s="717" t="s">
        <v>1398</v>
      </c>
      <c r="F43" s="714">
        <f t="shared" si="0"/>
        <v>0</v>
      </c>
    </row>
    <row r="44" spans="1:16" s="687" customFormat="1" ht="114.75" hidden="1" customHeight="1">
      <c r="A44" s="735">
        <v>13</v>
      </c>
      <c r="B44" s="720"/>
      <c r="C44" s="718" t="s">
        <v>6452</v>
      </c>
      <c r="D44" s="721"/>
      <c r="E44" s="720" t="s">
        <v>1398</v>
      </c>
      <c r="F44" s="714">
        <f t="shared" si="0"/>
        <v>0</v>
      </c>
      <c r="H44" s="688"/>
    </row>
    <row r="45" spans="1:16" s="687" customFormat="1" ht="66.75" customHeight="1">
      <c r="A45" s="735">
        <f>A37+1</f>
        <v>18</v>
      </c>
      <c r="B45" s="714">
        <f>Detail!H176</f>
        <v>581.44000000000005</v>
      </c>
      <c r="C45" s="715" t="s">
        <v>6484</v>
      </c>
      <c r="D45" s="721">
        <f>Data!K3349</f>
        <v>125.27</v>
      </c>
      <c r="E45" s="717" t="s">
        <v>2283</v>
      </c>
      <c r="F45" s="714">
        <f t="shared" si="0"/>
        <v>72836.990000000005</v>
      </c>
    </row>
    <row r="46" spans="1:16" s="687" customFormat="1" ht="80.25" customHeight="1">
      <c r="A46" s="735">
        <f>A45+1</f>
        <v>19</v>
      </c>
      <c r="B46" s="717">
        <f>Detail!H194</f>
        <v>159.43</v>
      </c>
      <c r="C46" s="715" t="s">
        <v>6477</v>
      </c>
      <c r="D46" s="721">
        <v>165.57</v>
      </c>
      <c r="E46" s="717" t="s">
        <v>2283</v>
      </c>
      <c r="F46" s="714">
        <f t="shared" si="0"/>
        <v>26396.83</v>
      </c>
    </row>
    <row r="47" spans="1:16" s="687" customFormat="1" ht="39" customHeight="1">
      <c r="A47" s="735">
        <f>A46+1</f>
        <v>20</v>
      </c>
      <c r="B47" s="717">
        <f>Detail!H215</f>
        <v>172.92</v>
      </c>
      <c r="C47" s="715" t="s">
        <v>6403</v>
      </c>
      <c r="D47" s="721">
        <f>Data!R399</f>
        <v>33.549999999999997</v>
      </c>
      <c r="E47" s="717" t="s">
        <v>2283</v>
      </c>
      <c r="F47" s="714">
        <f t="shared" si="0"/>
        <v>5801.47</v>
      </c>
    </row>
    <row r="48" spans="1:16" ht="39.75" customHeight="1">
      <c r="A48" s="722">
        <f>A47+1</f>
        <v>21</v>
      </c>
      <c r="B48" s="720">
        <f>Detail!H222</f>
        <v>54.81</v>
      </c>
      <c r="C48" s="723" t="s">
        <v>6404</v>
      </c>
      <c r="D48" s="721">
        <v>97.76</v>
      </c>
      <c r="E48" s="714" t="s">
        <v>2283</v>
      </c>
      <c r="F48" s="714">
        <f t="shared" si="0"/>
        <v>5358.23</v>
      </c>
      <c r="P48" s="685"/>
    </row>
    <row r="49" spans="1:8" s="687" customFormat="1" ht="36.75" customHeight="1">
      <c r="A49" s="735">
        <f>A48+1</f>
        <v>22</v>
      </c>
      <c r="B49" s="720">
        <f>Detail!H231</f>
        <v>30.56</v>
      </c>
      <c r="C49" s="718" t="s">
        <v>6405</v>
      </c>
      <c r="D49" s="721">
        <v>90.43</v>
      </c>
      <c r="E49" s="720" t="s">
        <v>2283</v>
      </c>
      <c r="F49" s="714">
        <f t="shared" si="0"/>
        <v>2763.54</v>
      </c>
      <c r="H49" s="688"/>
    </row>
    <row r="50" spans="1:8" s="687" customFormat="1" ht="52.5" hidden="1" customHeight="1">
      <c r="A50" s="735">
        <v>27</v>
      </c>
      <c r="B50" s="720"/>
      <c r="C50" s="718" t="s">
        <v>6454</v>
      </c>
      <c r="D50" s="721">
        <v>55.92</v>
      </c>
      <c r="E50" s="720" t="s">
        <v>2283</v>
      </c>
      <c r="F50" s="714">
        <f t="shared" si="0"/>
        <v>0</v>
      </c>
      <c r="H50" s="688"/>
    </row>
    <row r="51" spans="1:8" s="689" customFormat="1" ht="35.1" hidden="1" customHeight="1">
      <c r="A51" s="728">
        <v>43</v>
      </c>
      <c r="B51" s="724"/>
      <c r="C51" s="725" t="s">
        <v>6371</v>
      </c>
      <c r="D51" s="721"/>
      <c r="E51" s="726" t="s">
        <v>1398</v>
      </c>
      <c r="F51" s="714">
        <f t="shared" si="0"/>
        <v>0</v>
      </c>
    </row>
    <row r="52" spans="1:8" s="689" customFormat="1" ht="25.5" hidden="1" customHeight="1">
      <c r="A52" s="728"/>
      <c r="B52" s="724"/>
      <c r="C52" s="727" t="s">
        <v>6372</v>
      </c>
      <c r="D52" s="721"/>
      <c r="E52" s="726"/>
      <c r="F52" s="714">
        <f t="shared" si="0"/>
        <v>0</v>
      </c>
    </row>
    <row r="53" spans="1:8" s="689" customFormat="1" ht="39" hidden="1" customHeight="1">
      <c r="A53" s="728">
        <v>44</v>
      </c>
      <c r="B53" s="724"/>
      <c r="C53" s="725" t="s">
        <v>6373</v>
      </c>
      <c r="D53" s="721"/>
      <c r="E53" s="726" t="s">
        <v>1398</v>
      </c>
      <c r="F53" s="714">
        <f t="shared" si="0"/>
        <v>0</v>
      </c>
    </row>
    <row r="54" spans="1:8" s="689" customFormat="1" ht="17.25" hidden="1" customHeight="1">
      <c r="A54" s="728"/>
      <c r="B54" s="724"/>
      <c r="C54" s="727" t="s">
        <v>6372</v>
      </c>
      <c r="D54" s="721"/>
      <c r="E54" s="726"/>
      <c r="F54" s="714">
        <f t="shared" si="0"/>
        <v>0</v>
      </c>
    </row>
    <row r="55" spans="1:8" s="689" customFormat="1" ht="46.5" hidden="1" customHeight="1">
      <c r="A55" s="728">
        <v>45</v>
      </c>
      <c r="B55" s="724"/>
      <c r="C55" s="725" t="s">
        <v>6485</v>
      </c>
      <c r="D55" s="721"/>
      <c r="E55" s="726" t="s">
        <v>6374</v>
      </c>
      <c r="F55" s="714">
        <f t="shared" si="0"/>
        <v>0</v>
      </c>
    </row>
    <row r="56" spans="1:8" s="689" customFormat="1" ht="17.25" hidden="1" customHeight="1">
      <c r="A56" s="728"/>
      <c r="B56" s="724"/>
      <c r="C56" s="727" t="s">
        <v>6372</v>
      </c>
      <c r="D56" s="721"/>
      <c r="E56" s="726"/>
      <c r="F56" s="714">
        <f t="shared" si="0"/>
        <v>0</v>
      </c>
    </row>
    <row r="57" spans="1:8" s="679" customFormat="1" ht="66.75" customHeight="1">
      <c r="A57" s="728">
        <f>A49+1</f>
        <v>23</v>
      </c>
      <c r="B57" s="724">
        <f>Detail!H256</f>
        <v>266.48</v>
      </c>
      <c r="C57" s="725" t="s">
        <v>6487</v>
      </c>
      <c r="D57" s="721">
        <v>600</v>
      </c>
      <c r="E57" s="714" t="s">
        <v>2283</v>
      </c>
      <c r="F57" s="714">
        <f t="shared" si="0"/>
        <v>159888</v>
      </c>
    </row>
    <row r="58" spans="1:8" s="679" customFormat="1" ht="91.5" customHeight="1">
      <c r="A58" s="728">
        <f>A57+1</f>
        <v>24</v>
      </c>
      <c r="B58" s="724">
        <f>Detail!H269</f>
        <v>12.77</v>
      </c>
      <c r="C58" s="725" t="str">
        <f>Detail!B258</f>
        <v>Weathering Course with concrete broken brick jelly 20mm gauge in pure burnt stone lime slaked and screened (No Sand) over RCC Roof Slab with proportion of brick jelly to lime (fat lime) being 32: 12 1/2 by volume well beaten with wooden beaters for giving the required slope and thickness complying with relevant standard specification and as directed by the departmental officers.</v>
      </c>
      <c r="D58" s="721">
        <f>building!C337</f>
        <v>3785.37</v>
      </c>
      <c r="E58" s="714" t="str">
        <f>Detail!I269</f>
        <v>Cum</v>
      </c>
      <c r="F58" s="714">
        <f t="shared" si="0"/>
        <v>48339.17</v>
      </c>
    </row>
    <row r="59" spans="1:8" s="679" customFormat="1" ht="66.75" customHeight="1">
      <c r="A59" s="728">
        <f>A58+1</f>
        <v>25</v>
      </c>
      <c r="B59" s="724">
        <f>Detail!H273</f>
        <v>66</v>
      </c>
      <c r="C59" s="725" t="str">
        <f>Detail!B270</f>
        <v>Supplying and fixing Mild Steel grills as per the design approved to verandah enclosure or gate including one coat of primer and labour for fixing in position etc. all complete</v>
      </c>
      <c r="D59" s="721">
        <f>building!C352</f>
        <v>70.150000000000006</v>
      </c>
      <c r="E59" s="714" t="str">
        <f>Detail!I273</f>
        <v>kg</v>
      </c>
      <c r="F59" s="714">
        <f t="shared" si="0"/>
        <v>4629.8999999999996</v>
      </c>
    </row>
    <row r="60" spans="1:8" s="679" customFormat="1" ht="66.75" customHeight="1">
      <c r="A60" s="728">
        <f t="shared" ref="A60" si="2">A59+1</f>
        <v>26</v>
      </c>
      <c r="B60" s="724">
        <f>Detail!H277</f>
        <v>2.2000000000000002</v>
      </c>
      <c r="C60" s="725" t="str">
        <f>Detail!B274</f>
        <v>Painting the new Iron work and other similar works such as PVC /ASTM Pipes, Kerb Stone and grills with two coats of approved first class synthetic enamel ready mixed paint of approved quality and brand, the paint should be supplied by the contractor at hi</v>
      </c>
      <c r="D60" s="721">
        <f>building!C354</f>
        <v>138.35</v>
      </c>
      <c r="E60" s="714" t="str">
        <f>Detail!I277</f>
        <v>Sqm</v>
      </c>
      <c r="F60" s="714">
        <f t="shared" si="0"/>
        <v>304.37</v>
      </c>
    </row>
    <row r="61" spans="1:8" s="679" customFormat="1" ht="66.75" customHeight="1">
      <c r="A61" s="728">
        <f>A60+1</f>
        <v>27</v>
      </c>
      <c r="B61" s="724">
        <f>Detail!H280</f>
        <v>120</v>
      </c>
      <c r="C61" s="725" t="str">
        <f>Detail!B278</f>
        <v>Run of 2 Wires of 2.5 sqmm PVC insulated single core multi strand fire retardant flexible copper cable with ISI mark confirming IS: 694:1990.</v>
      </c>
      <c r="D61" s="721">
        <v>149.51</v>
      </c>
      <c r="E61" s="714" t="str">
        <f>Detail!I280</f>
        <v>Rmt</v>
      </c>
      <c r="F61" s="714">
        <f t="shared" si="0"/>
        <v>17941.2</v>
      </c>
    </row>
    <row r="62" spans="1:8" s="679" customFormat="1" ht="66.75" customHeight="1">
      <c r="A62" s="728">
        <f t="shared" ref="A62:A63" si="3">A61+1</f>
        <v>28</v>
      </c>
      <c r="B62" s="724">
        <f>Detail!H283</f>
        <v>102</v>
      </c>
      <c r="C62" s="725" t="str">
        <f>Detail!B281</f>
        <v>Supply and run of 2 of 4 sqmm PVC insulated unsheathed copper cable of 1100V grade in suitable 19 mm PVC rigid pipe concealed in wall and ceiling / on surface with continuous earth connection by 2.5 sq.mm PVC unsheathed copper conductors for mains  and ma</v>
      </c>
      <c r="D62" s="721">
        <v>179.91</v>
      </c>
      <c r="E62" s="714" t="str">
        <f>Detail!I283</f>
        <v>Rmt</v>
      </c>
      <c r="F62" s="714">
        <f t="shared" si="0"/>
        <v>18350.82</v>
      </c>
    </row>
    <row r="63" spans="1:8" s="679" customFormat="1" ht="66.75" customHeight="1">
      <c r="A63" s="728">
        <f t="shared" si="3"/>
        <v>29</v>
      </c>
      <c r="B63" s="724">
        <f>Detail!H286</f>
        <v>100</v>
      </c>
      <c r="C63" s="725" t="str">
        <f>Detail!B284</f>
        <v>Run of main with 2 wires of 1.5 sq.mm. copper PVC insulated unsheathed single core 1.1 kv grade cablewith continuous earth by meansof 1.5 sqm copper PVC insulated unsheathed single core1.1. k.v. grade cable in fully concealed   19mm/20mm dia rigidPVC cond</v>
      </c>
      <c r="D63" s="721">
        <f>'Print Data (2)'!F458</f>
        <v>214.9</v>
      </c>
      <c r="E63" s="714" t="str">
        <f>Detail!I286</f>
        <v>Rmt</v>
      </c>
      <c r="F63" s="714">
        <f t="shared" si="0"/>
        <v>21490</v>
      </c>
    </row>
    <row r="64" spans="1:8" s="679" customFormat="1" ht="66.75" customHeight="1">
      <c r="A64" s="728">
        <f>A63+1</f>
        <v>30</v>
      </c>
      <c r="B64" s="724"/>
      <c r="C64" s="725" t="str">
        <f>Detail!B287</f>
        <v>Supply and Fixing Aluminium letters with approved colour powder coat in finishing matt including cost of materials, necessary  drilling holes packing cement mortar, supporting the letter cement base bolds and fixing charges etc, complete as directed by the departmental officers.</v>
      </c>
      <c r="D64" s="721"/>
      <c r="E64" s="714"/>
      <c r="F64" s="714">
        <f t="shared" si="0"/>
        <v>0</v>
      </c>
    </row>
    <row r="65" spans="1:7" s="679" customFormat="1" ht="32.25" customHeight="1">
      <c r="A65" s="728"/>
      <c r="B65" s="724">
        <f>Detail!H290</f>
        <v>28</v>
      </c>
      <c r="C65" s="725" t="str">
        <f>Detail!B288</f>
        <v>25 cm  (10" )</v>
      </c>
      <c r="D65" s="721">
        <v>918</v>
      </c>
      <c r="E65" s="714" t="str">
        <f>Detail!I290</f>
        <v>Nos</v>
      </c>
      <c r="F65" s="714">
        <f t="shared" si="0"/>
        <v>25704</v>
      </c>
    </row>
    <row r="66" spans="1:7" s="679" customFormat="1" ht="22.5" customHeight="1">
      <c r="A66" s="728"/>
      <c r="B66" s="724"/>
      <c r="C66" s="725" t="s">
        <v>6586</v>
      </c>
      <c r="D66" s="721"/>
      <c r="E66" s="714"/>
      <c r="F66" s="714">
        <f t="shared" si="0"/>
        <v>0</v>
      </c>
    </row>
    <row r="67" spans="1:7" s="679" customFormat="1" ht="110.25" customHeight="1">
      <c r="A67" s="728">
        <f>A64+1</f>
        <v>31</v>
      </c>
      <c r="B67" s="724">
        <f>Detail!H297</f>
        <v>178.8</v>
      </c>
      <c r="C67" s="725" t="str">
        <f>Detail!B291</f>
        <v xml:space="preserve">Painting two coats with ready mixed plastic emulson paint of first class quality paint of approved colour and shade other similar works over one coat of primer for plastic emulsion paint including cost of necessary brushes, labour charges, patty etc., complying with relevant standard specification. The primer and paint should be supplied by the contractors at his own cost. (The quality and shade of the paint should be got approved by the  Executive engineer before use.) </v>
      </c>
      <c r="D67" s="721">
        <f>building!C725</f>
        <v>231.43</v>
      </c>
      <c r="E67" s="714" t="str">
        <f>Detail!I297</f>
        <v>Sqm</v>
      </c>
      <c r="F67" s="714">
        <f t="shared" si="0"/>
        <v>41379.68</v>
      </c>
    </row>
    <row r="68" spans="1:7" s="679" customFormat="1" ht="84.75" customHeight="1">
      <c r="A68" s="728">
        <f>A67+1</f>
        <v>32</v>
      </c>
      <c r="B68" s="724">
        <f>Detail!H302</f>
        <v>26.85</v>
      </c>
      <c r="C68" s="725" t="str">
        <f>Detail!B298</f>
        <v>Special ceiling plastering in cement mortar 1:3 (One of cement and three of sand) 20 mm thick for bottom of roof, stair, waist, landing and sunshades in all floors finished with neat cement including hacking the areas, providing band cornice, scaffolding, curing etc., complete complying with standard specification.</v>
      </c>
      <c r="D68" s="721">
        <f>'Print Data (2)'!F484</f>
        <v>535.16999999999996</v>
      </c>
      <c r="E68" s="714" t="str">
        <f>Detail!I302</f>
        <v>Sqm</v>
      </c>
      <c r="F68" s="714">
        <f t="shared" si="0"/>
        <v>14369.31</v>
      </c>
    </row>
    <row r="69" spans="1:7" s="679" customFormat="1" ht="77.25" customHeight="1">
      <c r="A69" s="728">
        <f>A68+1</f>
        <v>33</v>
      </c>
      <c r="B69" s="724">
        <f>Detail!H307</f>
        <v>26.85</v>
      </c>
      <c r="C69" s="725" t="str">
        <f>Detail!B303</f>
        <v xml:space="preserve">White washing three coats for ceiling using clean shell lime slaked including cost of lime, gum, blue, brushes, including scaffolding, thorough scrapping and washing with soap, soda water etc., all complete and complying with relevant standard specifications. </v>
      </c>
      <c r="D69" s="721">
        <f>building!C348</f>
        <v>45.28</v>
      </c>
      <c r="E69" s="714" t="str">
        <f>Detail!I307</f>
        <v>Sqm</v>
      </c>
      <c r="F69" s="714">
        <f t="shared" si="0"/>
        <v>1215.77</v>
      </c>
    </row>
    <row r="70" spans="1:7" s="683" customFormat="1" ht="21.75" customHeight="1">
      <c r="A70" s="728"/>
      <c r="B70" s="724"/>
      <c r="C70" s="727"/>
      <c r="D70" s="1011" t="s">
        <v>6375</v>
      </c>
      <c r="E70" s="1011"/>
      <c r="F70" s="729">
        <f>SUM(F7:F69)</f>
        <v>814285.67</v>
      </c>
    </row>
    <row r="71" spans="1:7" s="679" customFormat="1" ht="21.75" customHeight="1">
      <c r="A71" s="728"/>
      <c r="B71" s="724"/>
      <c r="C71" s="730" t="s">
        <v>6376</v>
      </c>
      <c r="D71" s="1008" t="s">
        <v>657</v>
      </c>
      <c r="E71" s="1008"/>
      <c r="F71" s="724">
        <f>F70*18%</f>
        <v>146571.42000000001</v>
      </c>
    </row>
    <row r="72" spans="1:7" s="679" customFormat="1" ht="21.75" customHeight="1">
      <c r="A72" s="728"/>
      <c r="B72" s="724"/>
      <c r="C72" s="730"/>
      <c r="D72" s="1011" t="s">
        <v>2245</v>
      </c>
      <c r="E72" s="1011"/>
      <c r="F72" s="729">
        <f>SUM(F70:F71)</f>
        <v>960857.09</v>
      </c>
    </row>
    <row r="73" spans="1:7" s="679" customFormat="1" ht="21.75" customHeight="1">
      <c r="A73" s="728"/>
      <c r="B73" s="724" t="s">
        <v>657</v>
      </c>
      <c r="C73" s="725" t="s">
        <v>6497</v>
      </c>
      <c r="D73" s="1008" t="s">
        <v>657</v>
      </c>
      <c r="E73" s="1008"/>
      <c r="F73" s="724">
        <f>F70*1%</f>
        <v>8142.86</v>
      </c>
    </row>
    <row r="74" spans="1:7" s="679" customFormat="1" ht="21.75" customHeight="1">
      <c r="A74" s="728"/>
      <c r="B74" s="724" t="s">
        <v>657</v>
      </c>
      <c r="C74" s="725" t="s">
        <v>6572</v>
      </c>
      <c r="D74" s="1008" t="s">
        <v>657</v>
      </c>
      <c r="E74" s="1008"/>
      <c r="F74" s="724">
        <f>F72*2.5%-3900</f>
        <v>20121.43</v>
      </c>
    </row>
    <row r="75" spans="1:7" s="679" customFormat="1" ht="21.75" customHeight="1">
      <c r="A75" s="728"/>
      <c r="B75" s="724" t="s">
        <v>657</v>
      </c>
      <c r="C75" s="731" t="s">
        <v>6498</v>
      </c>
      <c r="D75" s="1008" t="s">
        <v>657</v>
      </c>
      <c r="E75" s="1008"/>
      <c r="F75" s="724">
        <f>(F72)*7.5%</f>
        <v>72064.28</v>
      </c>
    </row>
    <row r="76" spans="1:7" s="683" customFormat="1" ht="21.75" customHeight="1">
      <c r="A76" s="728"/>
      <c r="B76" s="724"/>
      <c r="C76" s="732"/>
      <c r="D76" s="1009" t="s">
        <v>2245</v>
      </c>
      <c r="E76" s="1009"/>
      <c r="F76" s="729">
        <f>SUM(F72:F75)</f>
        <v>1061185.6599999999</v>
      </c>
    </row>
    <row r="77" spans="1:7" s="680" customFormat="1" ht="21.75" customHeight="1">
      <c r="A77" s="728"/>
      <c r="B77" s="729"/>
      <c r="C77" s="732"/>
      <c r="D77" s="1009" t="s">
        <v>6377</v>
      </c>
      <c r="E77" s="1009"/>
      <c r="F77" s="711">
        <f>ROUNDUP(F76,-2)</f>
        <v>1061200</v>
      </c>
      <c r="G77" s="680">
        <v>1064000</v>
      </c>
    </row>
    <row r="78" spans="1:7" s="690" customFormat="1">
      <c r="A78" s="736"/>
      <c r="B78" s="697"/>
      <c r="C78" s="692"/>
      <c r="D78" s="703"/>
      <c r="E78" s="704"/>
      <c r="F78" s="705"/>
    </row>
    <row r="79" spans="1:7" s="690" customFormat="1">
      <c r="A79" s="736"/>
      <c r="B79" s="697"/>
      <c r="C79" s="692"/>
      <c r="D79" s="703"/>
      <c r="E79" s="704"/>
      <c r="F79" s="705"/>
      <c r="G79" s="690">
        <f>F77-G77</f>
        <v>-2800</v>
      </c>
    </row>
    <row r="80" spans="1:7" s="690" customFormat="1">
      <c r="A80" s="736"/>
      <c r="B80" s="697"/>
      <c r="C80" s="692"/>
      <c r="D80" s="703"/>
      <c r="E80" s="704"/>
      <c r="F80" s="705"/>
    </row>
    <row r="81" spans="1:8" s="690" customFormat="1">
      <c r="A81" s="736"/>
      <c r="B81" s="697"/>
      <c r="C81" s="692"/>
      <c r="D81" s="703"/>
      <c r="E81" s="704"/>
      <c r="F81" s="705"/>
      <c r="H81" s="690">
        <v>731100</v>
      </c>
    </row>
    <row r="82" spans="1:8" s="690" customFormat="1">
      <c r="A82" s="736"/>
      <c r="B82" s="697"/>
      <c r="C82" s="692"/>
      <c r="D82" s="706"/>
      <c r="E82" s="704"/>
      <c r="F82" s="699"/>
    </row>
    <row r="83" spans="1:8" s="690" customFormat="1">
      <c r="A83" s="736"/>
      <c r="B83" s="697"/>
      <c r="C83" s="692"/>
      <c r="D83" s="706"/>
      <c r="E83" s="704"/>
      <c r="F83" s="699"/>
    </row>
    <row r="84" spans="1:8" s="690" customFormat="1">
      <c r="A84" s="736"/>
      <c r="B84" s="698" t="s">
        <v>6378</v>
      </c>
      <c r="C84" s="693" t="s">
        <v>6494</v>
      </c>
      <c r="D84" s="1010" t="s">
        <v>6379</v>
      </c>
      <c r="E84" s="1010"/>
      <c r="F84" s="705"/>
    </row>
    <row r="85" spans="1:8" s="690" customFormat="1">
      <c r="A85" s="736"/>
      <c r="B85" s="697"/>
      <c r="C85" s="692"/>
      <c r="D85" s="706"/>
      <c r="E85" s="704"/>
      <c r="F85" s="699"/>
    </row>
    <row r="86" spans="1:8" s="690" customFormat="1">
      <c r="A86" s="736"/>
      <c r="B86" s="697"/>
      <c r="C86" s="692"/>
      <c r="D86" s="706"/>
      <c r="E86" s="704"/>
      <c r="F86" s="699"/>
    </row>
    <row r="87" spans="1:8" s="690" customFormat="1">
      <c r="A87" s="736"/>
      <c r="B87" s="697"/>
      <c r="C87" s="692"/>
      <c r="D87" s="706"/>
      <c r="E87" s="704"/>
      <c r="F87" s="699"/>
    </row>
    <row r="88" spans="1:8" s="690" customFormat="1">
      <c r="A88" s="736"/>
      <c r="B88" s="697"/>
      <c r="C88" s="692"/>
      <c r="D88" s="706"/>
      <c r="E88" s="704"/>
      <c r="F88" s="699"/>
    </row>
    <row r="89" spans="1:8" s="690" customFormat="1">
      <c r="A89" s="736"/>
      <c r="B89" s="697"/>
      <c r="C89" s="692"/>
      <c r="D89" s="706"/>
      <c r="E89" s="704"/>
      <c r="F89" s="699"/>
    </row>
    <row r="90" spans="1:8" s="690" customFormat="1">
      <c r="A90" s="736"/>
      <c r="B90" s="697"/>
      <c r="C90" s="692"/>
      <c r="D90" s="706"/>
      <c r="E90" s="704"/>
      <c r="F90" s="699"/>
    </row>
    <row r="91" spans="1:8" s="690" customFormat="1">
      <c r="A91" s="736"/>
      <c r="B91" s="697"/>
      <c r="C91" s="692"/>
      <c r="D91" s="706"/>
      <c r="E91" s="704"/>
      <c r="F91" s="699"/>
    </row>
    <row r="92" spans="1:8" s="690" customFormat="1">
      <c r="A92" s="736"/>
      <c r="B92" s="697"/>
      <c r="C92" s="692"/>
      <c r="D92" s="706"/>
      <c r="E92" s="704"/>
      <c r="F92" s="699"/>
    </row>
    <row r="93" spans="1:8" s="690" customFormat="1">
      <c r="A93" s="737"/>
      <c r="B93" s="699"/>
      <c r="C93" s="694"/>
      <c r="D93" s="707"/>
      <c r="E93" s="704"/>
      <c r="F93" s="699"/>
    </row>
    <row r="94" spans="1:8" s="690" customFormat="1">
      <c r="A94" s="737"/>
      <c r="B94" s="699"/>
      <c r="C94" s="694"/>
      <c r="D94" s="707"/>
      <c r="E94" s="704"/>
      <c r="F94" s="699"/>
    </row>
    <row r="95" spans="1:8" s="690" customFormat="1">
      <c r="A95" s="737"/>
      <c r="B95" s="699"/>
      <c r="C95" s="694"/>
      <c r="D95" s="707"/>
      <c r="E95" s="704"/>
      <c r="F95" s="699"/>
    </row>
    <row r="96" spans="1:8" s="690" customFormat="1">
      <c r="A96" s="737"/>
      <c r="B96" s="699"/>
      <c r="C96" s="694"/>
      <c r="D96" s="707"/>
      <c r="E96" s="704"/>
      <c r="F96" s="699"/>
    </row>
    <row r="97" spans="1:6" s="690" customFormat="1">
      <c r="A97" s="737"/>
      <c r="B97" s="699"/>
      <c r="C97" s="694"/>
      <c r="D97" s="707"/>
      <c r="E97" s="704"/>
      <c r="F97" s="699"/>
    </row>
    <row r="98" spans="1:6" s="690" customFormat="1">
      <c r="A98" s="737"/>
      <c r="B98" s="699"/>
      <c r="C98" s="694"/>
      <c r="D98" s="707"/>
      <c r="E98" s="704"/>
      <c r="F98" s="699"/>
    </row>
    <row r="99" spans="1:6" s="690" customFormat="1">
      <c r="A99" s="737"/>
      <c r="B99" s="699"/>
      <c r="C99" s="694"/>
      <c r="D99" s="707"/>
      <c r="E99" s="704"/>
      <c r="F99" s="699"/>
    </row>
    <row r="100" spans="1:6" s="690" customFormat="1">
      <c r="A100" s="737"/>
      <c r="B100" s="699"/>
      <c r="C100" s="694"/>
      <c r="D100" s="707"/>
      <c r="E100" s="704"/>
      <c r="F100" s="699"/>
    </row>
    <row r="101" spans="1:6" s="690" customFormat="1">
      <c r="A101" s="737"/>
      <c r="B101" s="699"/>
      <c r="C101" s="694"/>
      <c r="D101" s="707"/>
      <c r="E101" s="704"/>
      <c r="F101" s="699"/>
    </row>
    <row r="102" spans="1:6" s="690" customFormat="1">
      <c r="A102" s="737"/>
      <c r="B102" s="699"/>
      <c r="C102" s="694"/>
      <c r="D102" s="707"/>
      <c r="E102" s="704"/>
      <c r="F102" s="699"/>
    </row>
    <row r="103" spans="1:6" s="690" customFormat="1">
      <c r="A103" s="737"/>
      <c r="B103" s="699"/>
      <c r="C103" s="694"/>
      <c r="D103" s="707"/>
      <c r="E103" s="704"/>
      <c r="F103" s="699"/>
    </row>
    <row r="104" spans="1:6" s="690" customFormat="1">
      <c r="A104" s="737"/>
      <c r="B104" s="699"/>
      <c r="C104" s="694"/>
      <c r="D104" s="707"/>
      <c r="E104" s="704"/>
      <c r="F104" s="699"/>
    </row>
    <row r="105" spans="1:6" s="690" customFormat="1">
      <c r="A105" s="737"/>
      <c r="B105" s="699"/>
      <c r="C105" s="694"/>
      <c r="D105" s="707"/>
      <c r="E105" s="704"/>
      <c r="F105" s="699"/>
    </row>
    <row r="106" spans="1:6" s="690" customFormat="1">
      <c r="A106" s="737"/>
      <c r="B106" s="699"/>
      <c r="C106" s="694"/>
      <c r="D106" s="707"/>
      <c r="E106" s="704"/>
      <c r="F106" s="699"/>
    </row>
    <row r="107" spans="1:6" s="690" customFormat="1">
      <c r="A107" s="737"/>
      <c r="B107" s="699"/>
      <c r="C107" s="694"/>
      <c r="D107" s="707"/>
      <c r="E107" s="704"/>
      <c r="F107" s="699"/>
    </row>
    <row r="108" spans="1:6" s="690" customFormat="1">
      <c r="A108" s="737"/>
      <c r="B108" s="699"/>
      <c r="C108" s="694"/>
      <c r="D108" s="707"/>
      <c r="E108" s="704"/>
      <c r="F108" s="699"/>
    </row>
    <row r="109" spans="1:6" s="690" customFormat="1">
      <c r="A109" s="737"/>
      <c r="B109" s="699"/>
      <c r="C109" s="694"/>
      <c r="D109" s="707"/>
      <c r="E109" s="704"/>
      <c r="F109" s="699"/>
    </row>
    <row r="110" spans="1:6" s="690" customFormat="1">
      <c r="A110" s="737"/>
      <c r="B110" s="699"/>
      <c r="C110" s="694"/>
      <c r="D110" s="707"/>
      <c r="E110" s="704"/>
      <c r="F110" s="699"/>
    </row>
    <row r="111" spans="1:6" s="690" customFormat="1">
      <c r="A111" s="737"/>
      <c r="B111" s="699"/>
      <c r="C111" s="694"/>
      <c r="D111" s="707"/>
      <c r="E111" s="704"/>
      <c r="F111" s="699"/>
    </row>
    <row r="112" spans="1:6" s="690" customFormat="1">
      <c r="A112" s="737"/>
      <c r="B112" s="699"/>
      <c r="C112" s="694"/>
      <c r="D112" s="707"/>
      <c r="E112" s="704"/>
      <c r="F112" s="699"/>
    </row>
    <row r="113" spans="1:6" s="690" customFormat="1">
      <c r="A113" s="737"/>
      <c r="B113" s="699"/>
      <c r="C113" s="694"/>
      <c r="D113" s="707"/>
      <c r="E113" s="704"/>
      <c r="F113" s="699"/>
    </row>
    <row r="114" spans="1:6" s="690" customFormat="1">
      <c r="A114" s="737"/>
      <c r="B114" s="699"/>
      <c r="C114" s="694"/>
      <c r="D114" s="707"/>
      <c r="E114" s="704"/>
      <c r="F114" s="699"/>
    </row>
    <row r="115" spans="1:6" s="690" customFormat="1">
      <c r="A115" s="737"/>
      <c r="B115" s="699"/>
      <c r="C115" s="694"/>
      <c r="D115" s="707"/>
      <c r="E115" s="704"/>
      <c r="F115" s="699"/>
    </row>
    <row r="116" spans="1:6" s="690" customFormat="1">
      <c r="A116" s="737"/>
      <c r="B116" s="699"/>
      <c r="C116" s="694"/>
      <c r="D116" s="707"/>
      <c r="E116" s="704"/>
      <c r="F116" s="699"/>
    </row>
    <row r="117" spans="1:6" s="690" customFormat="1">
      <c r="A117" s="737"/>
      <c r="B117" s="699"/>
      <c r="C117" s="694"/>
      <c r="D117" s="707"/>
      <c r="E117" s="704"/>
      <c r="F117" s="699"/>
    </row>
    <row r="118" spans="1:6" s="690" customFormat="1">
      <c r="A118" s="737"/>
      <c r="B118" s="699"/>
      <c r="C118" s="694"/>
      <c r="D118" s="707"/>
      <c r="E118" s="704"/>
      <c r="F118" s="699"/>
    </row>
    <row r="119" spans="1:6" s="690" customFormat="1">
      <c r="A119" s="737"/>
      <c r="B119" s="699"/>
      <c r="C119" s="694"/>
      <c r="D119" s="707"/>
      <c r="E119" s="704"/>
      <c r="F119" s="699"/>
    </row>
    <row r="120" spans="1:6" s="690" customFormat="1">
      <c r="A120" s="737"/>
      <c r="B120" s="699"/>
      <c r="C120" s="694"/>
      <c r="D120" s="707"/>
      <c r="E120" s="704"/>
      <c r="F120" s="699"/>
    </row>
    <row r="121" spans="1:6" s="690" customFormat="1">
      <c r="A121" s="737"/>
      <c r="B121" s="699"/>
      <c r="C121" s="694"/>
      <c r="D121" s="707"/>
      <c r="E121" s="704"/>
      <c r="F121" s="699"/>
    </row>
    <row r="122" spans="1:6" s="690" customFormat="1">
      <c r="A122" s="737"/>
      <c r="B122" s="699"/>
      <c r="C122" s="694"/>
      <c r="D122" s="707"/>
      <c r="E122" s="704"/>
      <c r="F122" s="699"/>
    </row>
    <row r="123" spans="1:6" s="690" customFormat="1">
      <c r="A123" s="737"/>
      <c r="B123" s="699"/>
      <c r="C123" s="694"/>
      <c r="D123" s="707"/>
      <c r="E123" s="704"/>
      <c r="F123" s="699"/>
    </row>
    <row r="124" spans="1:6" s="690" customFormat="1">
      <c r="A124" s="737"/>
      <c r="B124" s="699"/>
      <c r="C124" s="694"/>
      <c r="D124" s="707"/>
      <c r="E124" s="704"/>
      <c r="F124" s="699"/>
    </row>
    <row r="125" spans="1:6" s="690" customFormat="1">
      <c r="A125" s="737"/>
      <c r="B125" s="699"/>
      <c r="C125" s="694"/>
      <c r="D125" s="707"/>
      <c r="E125" s="704"/>
      <c r="F125" s="699"/>
    </row>
    <row r="126" spans="1:6" s="690" customFormat="1">
      <c r="A126" s="737"/>
      <c r="B126" s="699"/>
      <c r="C126" s="694"/>
      <c r="D126" s="707"/>
      <c r="E126" s="704"/>
      <c r="F126" s="699"/>
    </row>
    <row r="127" spans="1:6" s="690" customFormat="1">
      <c r="A127" s="737"/>
      <c r="B127" s="699"/>
      <c r="C127" s="694"/>
      <c r="D127" s="707"/>
      <c r="E127" s="704"/>
      <c r="F127" s="699"/>
    </row>
    <row r="128" spans="1:6" s="690" customFormat="1">
      <c r="A128" s="737"/>
      <c r="B128" s="699"/>
      <c r="C128" s="694"/>
      <c r="D128" s="707"/>
      <c r="E128" s="704"/>
      <c r="F128" s="699"/>
    </row>
    <row r="129" spans="1:6" s="690" customFormat="1">
      <c r="A129" s="737"/>
      <c r="B129" s="699"/>
      <c r="C129" s="694"/>
      <c r="D129" s="707"/>
      <c r="E129" s="704"/>
      <c r="F129" s="699"/>
    </row>
    <row r="130" spans="1:6" s="690" customFormat="1">
      <c r="A130" s="737"/>
      <c r="B130" s="699"/>
      <c r="C130" s="694"/>
      <c r="D130" s="707"/>
      <c r="E130" s="704"/>
      <c r="F130" s="699"/>
    </row>
    <row r="131" spans="1:6" s="690" customFormat="1">
      <c r="A131" s="737"/>
      <c r="B131" s="699"/>
      <c r="C131" s="694"/>
      <c r="D131" s="707"/>
      <c r="E131" s="704"/>
      <c r="F131" s="699"/>
    </row>
    <row r="132" spans="1:6" s="690" customFormat="1">
      <c r="A132" s="737"/>
      <c r="B132" s="699"/>
      <c r="C132" s="694"/>
      <c r="D132" s="707"/>
      <c r="E132" s="704"/>
      <c r="F132" s="699"/>
    </row>
    <row r="133" spans="1:6" s="690" customFormat="1">
      <c r="A133" s="737"/>
      <c r="B133" s="699"/>
      <c r="C133" s="694"/>
      <c r="D133" s="707"/>
      <c r="E133" s="704"/>
      <c r="F133" s="699"/>
    </row>
    <row r="134" spans="1:6" s="690" customFormat="1">
      <c r="A134" s="737"/>
      <c r="B134" s="699"/>
      <c r="C134" s="694"/>
      <c r="D134" s="707"/>
      <c r="E134" s="704"/>
      <c r="F134" s="699"/>
    </row>
    <row r="135" spans="1:6" s="690" customFormat="1">
      <c r="A135" s="737"/>
      <c r="B135" s="699"/>
      <c r="C135" s="694"/>
      <c r="D135" s="707"/>
      <c r="E135" s="704"/>
      <c r="F135" s="699"/>
    </row>
    <row r="136" spans="1:6" s="690" customFormat="1">
      <c r="A136" s="737"/>
      <c r="B136" s="699"/>
      <c r="C136" s="694"/>
      <c r="D136" s="707"/>
      <c r="E136" s="704"/>
      <c r="F136" s="699"/>
    </row>
    <row r="137" spans="1:6" s="690" customFormat="1">
      <c r="A137" s="737"/>
      <c r="B137" s="699"/>
      <c r="C137" s="694"/>
      <c r="D137" s="707"/>
      <c r="E137" s="704"/>
      <c r="F137" s="699"/>
    </row>
    <row r="138" spans="1:6" s="690" customFormat="1">
      <c r="A138" s="737"/>
      <c r="B138" s="699"/>
      <c r="C138" s="694"/>
      <c r="D138" s="707"/>
      <c r="E138" s="704"/>
      <c r="F138" s="699"/>
    </row>
    <row r="139" spans="1:6" s="690" customFormat="1">
      <c r="A139" s="737"/>
      <c r="B139" s="699"/>
      <c r="C139" s="694"/>
      <c r="D139" s="707"/>
      <c r="E139" s="704"/>
      <c r="F139" s="699"/>
    </row>
    <row r="140" spans="1:6" s="690" customFormat="1">
      <c r="A140" s="737"/>
      <c r="B140" s="699"/>
      <c r="C140" s="694"/>
      <c r="D140" s="707"/>
      <c r="E140" s="704"/>
      <c r="F140" s="699"/>
    </row>
    <row r="141" spans="1:6" s="690" customFormat="1">
      <c r="A141" s="737"/>
      <c r="B141" s="699"/>
      <c r="C141" s="694"/>
      <c r="D141" s="707"/>
      <c r="E141" s="704"/>
      <c r="F141" s="699"/>
    </row>
    <row r="142" spans="1:6" s="690" customFormat="1">
      <c r="A142" s="737"/>
      <c r="B142" s="699"/>
      <c r="C142" s="694"/>
      <c r="D142" s="707"/>
      <c r="E142" s="704"/>
      <c r="F142" s="699"/>
    </row>
    <row r="143" spans="1:6" s="690" customFormat="1">
      <c r="A143" s="737"/>
      <c r="B143" s="699"/>
      <c r="C143" s="694"/>
      <c r="D143" s="707"/>
      <c r="E143" s="704"/>
      <c r="F143" s="699"/>
    </row>
    <row r="144" spans="1:6" s="690" customFormat="1">
      <c r="A144" s="737"/>
      <c r="B144" s="699"/>
      <c r="C144" s="694"/>
      <c r="D144" s="707"/>
      <c r="E144" s="704"/>
      <c r="F144" s="699"/>
    </row>
    <row r="145" spans="1:6" s="690" customFormat="1">
      <c r="A145" s="737"/>
      <c r="B145" s="699"/>
      <c r="C145" s="694"/>
      <c r="D145" s="707"/>
      <c r="E145" s="704"/>
      <c r="F145" s="699"/>
    </row>
    <row r="146" spans="1:6" s="690" customFormat="1">
      <c r="A146" s="737"/>
      <c r="B146" s="699"/>
      <c r="C146" s="694"/>
      <c r="D146" s="707"/>
      <c r="E146" s="704"/>
      <c r="F146" s="699"/>
    </row>
    <row r="147" spans="1:6" s="690" customFormat="1">
      <c r="A147" s="737"/>
      <c r="B147" s="699"/>
      <c r="C147" s="694"/>
      <c r="D147" s="707"/>
      <c r="E147" s="704"/>
      <c r="F147" s="699"/>
    </row>
    <row r="148" spans="1:6" s="690" customFormat="1">
      <c r="A148" s="737"/>
      <c r="B148" s="699"/>
      <c r="C148" s="694"/>
      <c r="D148" s="707"/>
      <c r="E148" s="704"/>
      <c r="F148" s="699"/>
    </row>
    <row r="149" spans="1:6" s="690" customFormat="1">
      <c r="A149" s="737"/>
      <c r="B149" s="699"/>
      <c r="C149" s="694"/>
      <c r="D149" s="707"/>
      <c r="E149" s="704"/>
      <c r="F149" s="699"/>
    </row>
    <row r="150" spans="1:6" s="690" customFormat="1">
      <c r="A150" s="737"/>
      <c r="B150" s="699"/>
      <c r="C150" s="694"/>
      <c r="D150" s="707"/>
      <c r="E150" s="704"/>
      <c r="F150" s="699"/>
    </row>
    <row r="151" spans="1:6" s="690" customFormat="1">
      <c r="A151" s="737"/>
      <c r="B151" s="699"/>
      <c r="C151" s="694"/>
      <c r="D151" s="707"/>
      <c r="E151" s="704"/>
      <c r="F151" s="699"/>
    </row>
    <row r="152" spans="1:6" s="690" customFormat="1">
      <c r="A152" s="737"/>
      <c r="B152" s="699"/>
      <c r="C152" s="694"/>
      <c r="D152" s="707"/>
      <c r="E152" s="704"/>
      <c r="F152" s="699"/>
    </row>
    <row r="153" spans="1:6" s="690" customFormat="1">
      <c r="A153" s="737"/>
      <c r="B153" s="699"/>
      <c r="C153" s="694"/>
      <c r="D153" s="707"/>
      <c r="E153" s="704"/>
      <c r="F153" s="699"/>
    </row>
    <row r="154" spans="1:6" s="690" customFormat="1">
      <c r="A154" s="737"/>
      <c r="B154" s="699"/>
      <c r="C154" s="694"/>
      <c r="D154" s="707"/>
      <c r="E154" s="704"/>
      <c r="F154" s="699"/>
    </row>
    <row r="155" spans="1:6" s="690" customFormat="1">
      <c r="A155" s="737"/>
      <c r="B155" s="699"/>
      <c r="C155" s="694"/>
      <c r="D155" s="707"/>
      <c r="E155" s="704"/>
      <c r="F155" s="699"/>
    </row>
    <row r="156" spans="1:6" s="690" customFormat="1">
      <c r="A156" s="737"/>
      <c r="B156" s="699"/>
      <c r="C156" s="694"/>
      <c r="D156" s="707"/>
      <c r="E156" s="704"/>
      <c r="F156" s="699"/>
    </row>
    <row r="157" spans="1:6" s="690" customFormat="1">
      <c r="A157" s="737"/>
      <c r="B157" s="699"/>
      <c r="C157" s="694"/>
      <c r="D157" s="707"/>
      <c r="E157" s="704"/>
      <c r="F157" s="699"/>
    </row>
    <row r="158" spans="1:6" s="690" customFormat="1">
      <c r="A158" s="737"/>
      <c r="B158" s="699"/>
      <c r="C158" s="694"/>
      <c r="D158" s="707"/>
      <c r="E158" s="704"/>
      <c r="F158" s="699"/>
    </row>
    <row r="159" spans="1:6" s="690" customFormat="1">
      <c r="A159" s="737"/>
      <c r="B159" s="699"/>
      <c r="C159" s="694"/>
      <c r="D159" s="707"/>
      <c r="E159" s="704"/>
      <c r="F159" s="699"/>
    </row>
    <row r="160" spans="1:6" s="690" customFormat="1">
      <c r="A160" s="737"/>
      <c r="B160" s="699"/>
      <c r="C160" s="694"/>
      <c r="D160" s="707"/>
      <c r="E160" s="704"/>
      <c r="F160" s="699"/>
    </row>
    <row r="161" spans="1:6" s="690" customFormat="1">
      <c r="A161" s="737"/>
      <c r="B161" s="699"/>
      <c r="C161" s="694"/>
      <c r="D161" s="707"/>
      <c r="E161" s="704"/>
      <c r="F161" s="699"/>
    </row>
    <row r="162" spans="1:6" s="690" customFormat="1">
      <c r="A162" s="737"/>
      <c r="B162" s="699"/>
      <c r="C162" s="694"/>
      <c r="D162" s="707"/>
      <c r="E162" s="704"/>
      <c r="F162" s="699"/>
    </row>
    <row r="163" spans="1:6" s="690" customFormat="1">
      <c r="A163" s="737"/>
      <c r="B163" s="699"/>
      <c r="C163" s="694"/>
      <c r="D163" s="707"/>
      <c r="E163" s="704"/>
      <c r="F163" s="699"/>
    </row>
    <row r="164" spans="1:6" s="690" customFormat="1">
      <c r="A164" s="737"/>
      <c r="B164" s="699"/>
      <c r="C164" s="694"/>
      <c r="D164" s="707"/>
      <c r="E164" s="704"/>
      <c r="F164" s="699"/>
    </row>
    <row r="165" spans="1:6" s="690" customFormat="1">
      <c r="A165" s="737"/>
      <c r="B165" s="699"/>
      <c r="C165" s="694"/>
      <c r="D165" s="707"/>
      <c r="E165" s="704"/>
      <c r="F165" s="699"/>
    </row>
    <row r="166" spans="1:6" s="690" customFormat="1">
      <c r="A166" s="737"/>
      <c r="B166" s="699"/>
      <c r="C166" s="694"/>
      <c r="D166" s="707"/>
      <c r="E166" s="704"/>
      <c r="F166" s="699"/>
    </row>
    <row r="167" spans="1:6" s="690" customFormat="1">
      <c r="A167" s="737"/>
      <c r="B167" s="699"/>
      <c r="C167" s="694"/>
      <c r="D167" s="707"/>
      <c r="E167" s="704"/>
      <c r="F167" s="699"/>
    </row>
    <row r="168" spans="1:6" s="690" customFormat="1">
      <c r="A168" s="737"/>
      <c r="B168" s="699"/>
      <c r="C168" s="694"/>
      <c r="D168" s="707"/>
      <c r="E168" s="704"/>
      <c r="F168" s="699"/>
    </row>
    <row r="169" spans="1:6" s="690" customFormat="1">
      <c r="A169" s="737"/>
      <c r="B169" s="699"/>
      <c r="C169" s="694"/>
      <c r="D169" s="707"/>
      <c r="E169" s="704"/>
      <c r="F169" s="699"/>
    </row>
    <row r="170" spans="1:6" s="690" customFormat="1">
      <c r="A170" s="737"/>
      <c r="B170" s="699"/>
      <c r="C170" s="694"/>
      <c r="D170" s="707"/>
      <c r="E170" s="704"/>
      <c r="F170" s="699"/>
    </row>
    <row r="171" spans="1:6" s="690" customFormat="1">
      <c r="A171" s="737"/>
      <c r="B171" s="699"/>
      <c r="C171" s="694"/>
      <c r="D171" s="707"/>
      <c r="E171" s="704"/>
      <c r="F171" s="699"/>
    </row>
    <row r="172" spans="1:6" s="690" customFormat="1">
      <c r="A172" s="737"/>
      <c r="B172" s="699"/>
      <c r="C172" s="694"/>
      <c r="D172" s="707"/>
      <c r="E172" s="704"/>
      <c r="F172" s="699"/>
    </row>
    <row r="173" spans="1:6" s="690" customFormat="1">
      <c r="A173" s="737"/>
      <c r="B173" s="699"/>
      <c r="C173" s="694"/>
      <c r="D173" s="707"/>
      <c r="E173" s="704"/>
      <c r="F173" s="699"/>
    </row>
    <row r="174" spans="1:6" s="690" customFormat="1">
      <c r="A174" s="737"/>
      <c r="B174" s="699"/>
      <c r="C174" s="694"/>
      <c r="D174" s="707"/>
      <c r="E174" s="704"/>
      <c r="F174" s="699"/>
    </row>
    <row r="175" spans="1:6" s="690" customFormat="1">
      <c r="A175" s="737"/>
      <c r="B175" s="699"/>
      <c r="C175" s="694"/>
      <c r="D175" s="707"/>
      <c r="E175" s="704"/>
      <c r="F175" s="699"/>
    </row>
    <row r="176" spans="1:6" s="690" customFormat="1">
      <c r="A176" s="737"/>
      <c r="B176" s="699"/>
      <c r="C176" s="694"/>
      <c r="D176" s="707"/>
      <c r="E176" s="704"/>
      <c r="F176" s="699"/>
    </row>
    <row r="177" spans="1:6" s="690" customFormat="1">
      <c r="A177" s="737"/>
      <c r="B177" s="699"/>
      <c r="C177" s="694"/>
      <c r="D177" s="707"/>
      <c r="E177" s="704"/>
      <c r="F177" s="699"/>
    </row>
    <row r="178" spans="1:6" s="690" customFormat="1">
      <c r="A178" s="737"/>
      <c r="B178" s="699"/>
      <c r="C178" s="694"/>
      <c r="D178" s="707"/>
      <c r="E178" s="704"/>
      <c r="F178" s="699"/>
    </row>
    <row r="179" spans="1:6" s="690" customFormat="1">
      <c r="A179" s="737"/>
      <c r="B179" s="699"/>
      <c r="C179" s="694"/>
      <c r="D179" s="707"/>
      <c r="E179" s="704"/>
      <c r="F179" s="699"/>
    </row>
    <row r="180" spans="1:6" s="690" customFormat="1">
      <c r="A180" s="737"/>
      <c r="B180" s="699"/>
      <c r="C180" s="694"/>
      <c r="D180" s="707"/>
      <c r="E180" s="704"/>
      <c r="F180" s="699"/>
    </row>
    <row r="181" spans="1:6" s="690" customFormat="1">
      <c r="A181" s="737"/>
      <c r="B181" s="699"/>
      <c r="C181" s="694"/>
      <c r="D181" s="707"/>
      <c r="E181" s="704"/>
      <c r="F181" s="699"/>
    </row>
    <row r="182" spans="1:6" s="690" customFormat="1">
      <c r="A182" s="737"/>
      <c r="B182" s="699"/>
      <c r="C182" s="694"/>
      <c r="D182" s="707"/>
      <c r="E182" s="704"/>
      <c r="F182" s="699"/>
    </row>
    <row r="183" spans="1:6" s="690" customFormat="1">
      <c r="A183" s="737"/>
      <c r="B183" s="699"/>
      <c r="C183" s="694"/>
      <c r="D183" s="707"/>
      <c r="E183" s="704"/>
      <c r="F183" s="699"/>
    </row>
    <row r="184" spans="1:6" s="690" customFormat="1">
      <c r="A184" s="737"/>
      <c r="B184" s="699"/>
      <c r="C184" s="694"/>
      <c r="D184" s="707"/>
      <c r="E184" s="704"/>
      <c r="F184" s="699"/>
    </row>
    <row r="185" spans="1:6" s="690" customFormat="1">
      <c r="A185" s="737"/>
      <c r="B185" s="699"/>
      <c r="C185" s="694"/>
      <c r="D185" s="707"/>
      <c r="E185" s="704"/>
      <c r="F185" s="699"/>
    </row>
    <row r="186" spans="1:6" s="690" customFormat="1">
      <c r="A186" s="737"/>
      <c r="B186" s="699"/>
      <c r="C186" s="694"/>
      <c r="D186" s="707"/>
      <c r="E186" s="704"/>
      <c r="F186" s="699"/>
    </row>
    <row r="187" spans="1:6" s="690" customFormat="1">
      <c r="A187" s="737"/>
      <c r="B187" s="699"/>
      <c r="C187" s="694"/>
      <c r="D187" s="707"/>
      <c r="E187" s="704"/>
      <c r="F187" s="699"/>
    </row>
    <row r="188" spans="1:6" s="690" customFormat="1">
      <c r="A188" s="737"/>
      <c r="B188" s="699"/>
      <c r="C188" s="694"/>
      <c r="D188" s="707"/>
      <c r="E188" s="704"/>
      <c r="F188" s="699"/>
    </row>
    <row r="189" spans="1:6" s="690" customFormat="1">
      <c r="A189" s="737"/>
      <c r="B189" s="699"/>
      <c r="C189" s="694"/>
      <c r="D189" s="707"/>
      <c r="E189" s="704"/>
      <c r="F189" s="699"/>
    </row>
    <row r="190" spans="1:6" s="690" customFormat="1">
      <c r="A190" s="737"/>
      <c r="B190" s="699"/>
      <c r="C190" s="694"/>
      <c r="D190" s="707"/>
      <c r="E190" s="704"/>
      <c r="F190" s="699"/>
    </row>
    <row r="191" spans="1:6" s="690" customFormat="1">
      <c r="A191" s="737"/>
      <c r="B191" s="699"/>
      <c r="C191" s="694"/>
      <c r="D191" s="707"/>
      <c r="E191" s="704"/>
      <c r="F191" s="699"/>
    </row>
    <row r="192" spans="1:6" s="690" customFormat="1">
      <c r="A192" s="737"/>
      <c r="B192" s="699"/>
      <c r="C192" s="694"/>
      <c r="D192" s="707"/>
      <c r="E192" s="704"/>
      <c r="F192" s="699"/>
    </row>
    <row r="193" spans="1:6" s="690" customFormat="1">
      <c r="A193" s="737"/>
      <c r="B193" s="699"/>
      <c r="C193" s="694"/>
      <c r="D193" s="707"/>
      <c r="E193" s="704"/>
      <c r="F193" s="699"/>
    </row>
    <row r="194" spans="1:6" s="690" customFormat="1">
      <c r="A194" s="737"/>
      <c r="B194" s="699"/>
      <c r="C194" s="694"/>
      <c r="D194" s="707"/>
      <c r="E194" s="704"/>
      <c r="F194" s="699"/>
    </row>
    <row r="195" spans="1:6" s="690" customFormat="1">
      <c r="A195" s="737"/>
      <c r="B195" s="699"/>
      <c r="C195" s="694"/>
      <c r="D195" s="707"/>
      <c r="E195" s="704"/>
      <c r="F195" s="699"/>
    </row>
    <row r="196" spans="1:6" s="690" customFormat="1">
      <c r="A196" s="737"/>
      <c r="B196" s="699"/>
      <c r="C196" s="694"/>
      <c r="D196" s="707"/>
      <c r="E196" s="704"/>
      <c r="F196" s="699"/>
    </row>
    <row r="197" spans="1:6" s="690" customFormat="1">
      <c r="A197" s="737"/>
      <c r="B197" s="699"/>
      <c r="C197" s="694"/>
      <c r="D197" s="707"/>
      <c r="E197" s="704"/>
      <c r="F197" s="699"/>
    </row>
    <row r="198" spans="1:6" s="690" customFormat="1">
      <c r="A198" s="737"/>
      <c r="B198" s="699"/>
      <c r="C198" s="694"/>
      <c r="D198" s="707"/>
      <c r="E198" s="704"/>
      <c r="F198" s="699"/>
    </row>
    <row r="199" spans="1:6" s="690" customFormat="1">
      <c r="A199" s="737"/>
      <c r="B199" s="699"/>
      <c r="C199" s="694"/>
      <c r="D199" s="707"/>
      <c r="E199" s="704"/>
      <c r="F199" s="699"/>
    </row>
    <row r="200" spans="1:6" s="690" customFormat="1">
      <c r="A200" s="737"/>
      <c r="B200" s="699"/>
      <c r="C200" s="694"/>
      <c r="D200" s="707"/>
      <c r="E200" s="704"/>
      <c r="F200" s="699"/>
    </row>
    <row r="201" spans="1:6" s="690" customFormat="1">
      <c r="A201" s="737"/>
      <c r="B201" s="699"/>
      <c r="C201" s="694"/>
      <c r="D201" s="707"/>
      <c r="E201" s="704"/>
      <c r="F201" s="699"/>
    </row>
    <row r="202" spans="1:6" s="690" customFormat="1">
      <c r="A202" s="737"/>
      <c r="B202" s="699"/>
      <c r="C202" s="694"/>
      <c r="D202" s="707"/>
      <c r="E202" s="704"/>
      <c r="F202" s="699"/>
    </row>
    <row r="203" spans="1:6" s="690" customFormat="1">
      <c r="A203" s="737"/>
      <c r="B203" s="699"/>
      <c r="C203" s="694"/>
      <c r="D203" s="707"/>
      <c r="E203" s="704"/>
      <c r="F203" s="699"/>
    </row>
    <row r="204" spans="1:6" s="690" customFormat="1">
      <c r="A204" s="737"/>
      <c r="B204" s="699"/>
      <c r="C204" s="694"/>
      <c r="D204" s="707"/>
      <c r="E204" s="704"/>
      <c r="F204" s="699"/>
    </row>
    <row r="205" spans="1:6" s="690" customFormat="1">
      <c r="A205" s="737"/>
      <c r="B205" s="699"/>
      <c r="C205" s="694"/>
      <c r="D205" s="707"/>
      <c r="E205" s="704"/>
      <c r="F205" s="699"/>
    </row>
    <row r="206" spans="1:6" s="690" customFormat="1">
      <c r="A206" s="737"/>
      <c r="B206" s="699"/>
      <c r="C206" s="694"/>
      <c r="D206" s="707"/>
      <c r="E206" s="704"/>
      <c r="F206" s="699"/>
    </row>
    <row r="207" spans="1:6" s="690" customFormat="1">
      <c r="A207" s="737"/>
      <c r="B207" s="699"/>
      <c r="C207" s="694"/>
      <c r="D207" s="707"/>
      <c r="E207" s="704"/>
      <c r="F207" s="699"/>
    </row>
    <row r="208" spans="1:6" s="690" customFormat="1">
      <c r="A208" s="737"/>
      <c r="B208" s="699"/>
      <c r="C208" s="694"/>
      <c r="D208" s="707"/>
      <c r="E208" s="704"/>
      <c r="F208" s="699"/>
    </row>
    <row r="209" spans="1:6" s="690" customFormat="1">
      <c r="A209" s="737"/>
      <c r="B209" s="699"/>
      <c r="C209" s="694"/>
      <c r="D209" s="707"/>
      <c r="E209" s="704"/>
      <c r="F209" s="699"/>
    </row>
    <row r="210" spans="1:6" s="690" customFormat="1">
      <c r="A210" s="737"/>
      <c r="B210" s="699"/>
      <c r="C210" s="694"/>
      <c r="D210" s="707"/>
      <c r="E210" s="704"/>
      <c r="F210" s="699"/>
    </row>
    <row r="211" spans="1:6" s="690" customFormat="1">
      <c r="A211" s="737"/>
      <c r="B211" s="699"/>
      <c r="C211" s="694"/>
      <c r="D211" s="707"/>
      <c r="E211" s="704"/>
      <c r="F211" s="699"/>
    </row>
    <row r="212" spans="1:6" s="690" customFormat="1">
      <c r="A212" s="737"/>
      <c r="B212" s="699"/>
      <c r="C212" s="694"/>
      <c r="D212" s="707"/>
      <c r="E212" s="704"/>
      <c r="F212" s="699"/>
    </row>
    <row r="213" spans="1:6" s="690" customFormat="1">
      <c r="A213" s="737"/>
      <c r="B213" s="699"/>
      <c r="C213" s="694"/>
      <c r="D213" s="707"/>
      <c r="E213" s="704"/>
      <c r="F213" s="699"/>
    </row>
    <row r="214" spans="1:6" s="690" customFormat="1">
      <c r="A214" s="737"/>
      <c r="B214" s="699"/>
      <c r="C214" s="694"/>
      <c r="D214" s="707"/>
      <c r="E214" s="704"/>
      <c r="F214" s="699"/>
    </row>
    <row r="215" spans="1:6" s="690" customFormat="1">
      <c r="A215" s="737"/>
      <c r="B215" s="699"/>
      <c r="C215" s="694"/>
      <c r="D215" s="707"/>
      <c r="E215" s="704"/>
      <c r="F215" s="699"/>
    </row>
    <row r="216" spans="1:6" s="690" customFormat="1">
      <c r="A216" s="737"/>
      <c r="B216" s="699"/>
      <c r="C216" s="694"/>
      <c r="D216" s="707"/>
      <c r="E216" s="704"/>
      <c r="F216" s="699"/>
    </row>
    <row r="217" spans="1:6" s="690" customFormat="1">
      <c r="A217" s="737"/>
      <c r="B217" s="699"/>
      <c r="C217" s="694"/>
      <c r="D217" s="707"/>
      <c r="E217" s="704"/>
      <c r="F217" s="699"/>
    </row>
    <row r="218" spans="1:6" s="690" customFormat="1">
      <c r="A218" s="737"/>
      <c r="B218" s="699"/>
      <c r="C218" s="694"/>
      <c r="D218" s="707"/>
      <c r="E218" s="704"/>
      <c r="F218" s="699"/>
    </row>
    <row r="219" spans="1:6" s="690" customFormat="1">
      <c r="A219" s="737"/>
      <c r="B219" s="699"/>
      <c r="C219" s="694"/>
      <c r="D219" s="707"/>
      <c r="E219" s="704"/>
      <c r="F219" s="699"/>
    </row>
    <row r="220" spans="1:6" s="690" customFormat="1">
      <c r="A220" s="737"/>
      <c r="B220" s="699"/>
      <c r="C220" s="694"/>
      <c r="D220" s="707"/>
      <c r="E220" s="704"/>
      <c r="F220" s="699"/>
    </row>
    <row r="221" spans="1:6" s="690" customFormat="1">
      <c r="A221" s="737"/>
      <c r="B221" s="699"/>
      <c r="C221" s="694"/>
      <c r="D221" s="707"/>
      <c r="E221" s="704"/>
      <c r="F221" s="699"/>
    </row>
    <row r="222" spans="1:6" s="690" customFormat="1">
      <c r="A222" s="737"/>
      <c r="B222" s="699"/>
      <c r="C222" s="694"/>
      <c r="D222" s="707"/>
      <c r="E222" s="704"/>
      <c r="F222" s="699"/>
    </row>
    <row r="223" spans="1:6" s="690" customFormat="1">
      <c r="A223" s="737"/>
      <c r="B223" s="699"/>
      <c r="C223" s="694"/>
      <c r="D223" s="707"/>
      <c r="E223" s="704"/>
      <c r="F223" s="699"/>
    </row>
    <row r="224" spans="1:6" s="690" customFormat="1">
      <c r="A224" s="737"/>
      <c r="B224" s="699"/>
      <c r="C224" s="694"/>
      <c r="D224" s="707"/>
      <c r="E224" s="704"/>
      <c r="F224" s="699"/>
    </row>
    <row r="225" spans="1:6" s="690" customFormat="1">
      <c r="A225" s="737"/>
      <c r="B225" s="699"/>
      <c r="C225" s="694"/>
      <c r="D225" s="707"/>
      <c r="E225" s="704"/>
      <c r="F225" s="699"/>
    </row>
    <row r="226" spans="1:6" s="690" customFormat="1">
      <c r="A226" s="737"/>
      <c r="B226" s="699"/>
      <c r="C226" s="694"/>
      <c r="D226" s="707"/>
      <c r="E226" s="704"/>
      <c r="F226" s="699"/>
    </row>
    <row r="227" spans="1:6" s="690" customFormat="1">
      <c r="A227" s="737"/>
      <c r="B227" s="699"/>
      <c r="C227" s="694"/>
      <c r="D227" s="707"/>
      <c r="E227" s="704"/>
      <c r="F227" s="699"/>
    </row>
    <row r="228" spans="1:6" s="690" customFormat="1">
      <c r="A228" s="737"/>
      <c r="B228" s="699"/>
      <c r="C228" s="694"/>
      <c r="D228" s="707"/>
      <c r="E228" s="704"/>
      <c r="F228" s="699"/>
    </row>
    <row r="229" spans="1:6" s="690" customFormat="1">
      <c r="A229" s="737"/>
      <c r="B229" s="699"/>
      <c r="C229" s="694"/>
      <c r="D229" s="707"/>
      <c r="E229" s="704"/>
      <c r="F229" s="699"/>
    </row>
    <row r="230" spans="1:6" s="690" customFormat="1">
      <c r="A230" s="737"/>
      <c r="B230" s="699"/>
      <c r="C230" s="694"/>
      <c r="D230" s="707"/>
      <c r="E230" s="704"/>
      <c r="F230" s="699"/>
    </row>
    <row r="231" spans="1:6" s="690" customFormat="1">
      <c r="A231" s="737"/>
      <c r="B231" s="699"/>
      <c r="C231" s="694"/>
      <c r="D231" s="707"/>
      <c r="E231" s="704"/>
      <c r="F231" s="699"/>
    </row>
    <row r="232" spans="1:6" s="690" customFormat="1">
      <c r="A232" s="737"/>
      <c r="B232" s="699"/>
      <c r="C232" s="694"/>
      <c r="D232" s="707"/>
      <c r="E232" s="704"/>
      <c r="F232" s="699"/>
    </row>
    <row r="233" spans="1:6" s="690" customFormat="1">
      <c r="A233" s="737"/>
      <c r="B233" s="699"/>
      <c r="C233" s="694"/>
      <c r="D233" s="707"/>
      <c r="E233" s="704"/>
      <c r="F233" s="699"/>
    </row>
    <row r="234" spans="1:6" s="690" customFormat="1">
      <c r="A234" s="737"/>
      <c r="B234" s="699"/>
      <c r="C234" s="694"/>
      <c r="D234" s="707"/>
      <c r="E234" s="704"/>
      <c r="F234" s="699"/>
    </row>
    <row r="235" spans="1:6" s="690" customFormat="1">
      <c r="A235" s="737"/>
      <c r="B235" s="699"/>
      <c r="C235" s="694"/>
      <c r="D235" s="707"/>
      <c r="E235" s="704"/>
      <c r="F235" s="699"/>
    </row>
    <row r="236" spans="1:6" s="690" customFormat="1">
      <c r="A236" s="737"/>
      <c r="B236" s="699"/>
      <c r="C236" s="694"/>
      <c r="D236" s="707"/>
      <c r="E236" s="704"/>
      <c r="F236" s="699"/>
    </row>
    <row r="237" spans="1:6" s="690" customFormat="1">
      <c r="A237" s="737"/>
      <c r="B237" s="699"/>
      <c r="C237" s="694"/>
      <c r="D237" s="707"/>
      <c r="E237" s="704"/>
      <c r="F237" s="699"/>
    </row>
    <row r="238" spans="1:6" s="690" customFormat="1">
      <c r="A238" s="737"/>
      <c r="B238" s="699"/>
      <c r="C238" s="694"/>
      <c r="D238" s="707"/>
      <c r="E238" s="704"/>
      <c r="F238" s="699"/>
    </row>
    <row r="239" spans="1:6" s="690" customFormat="1">
      <c r="A239" s="737"/>
      <c r="B239" s="699"/>
      <c r="C239" s="694"/>
      <c r="D239" s="707"/>
      <c r="E239" s="704"/>
      <c r="F239" s="699"/>
    </row>
    <row r="240" spans="1:6" s="690" customFormat="1">
      <c r="A240" s="737"/>
      <c r="B240" s="699"/>
      <c r="C240" s="694"/>
      <c r="D240" s="707"/>
      <c r="E240" s="704"/>
      <c r="F240" s="699"/>
    </row>
    <row r="241" spans="1:6" s="690" customFormat="1">
      <c r="A241" s="737"/>
      <c r="B241" s="699"/>
      <c r="C241" s="694"/>
      <c r="D241" s="707"/>
      <c r="E241" s="704"/>
      <c r="F241" s="699"/>
    </row>
    <row r="242" spans="1:6" s="690" customFormat="1">
      <c r="A242" s="737"/>
      <c r="B242" s="699"/>
      <c r="C242" s="694"/>
      <c r="D242" s="707"/>
      <c r="E242" s="704"/>
      <c r="F242" s="699"/>
    </row>
    <row r="243" spans="1:6" s="690" customFormat="1">
      <c r="A243" s="737"/>
      <c r="B243" s="699"/>
      <c r="C243" s="694"/>
      <c r="D243" s="707"/>
      <c r="E243" s="704"/>
      <c r="F243" s="699"/>
    </row>
    <row r="244" spans="1:6" s="690" customFormat="1">
      <c r="A244" s="737"/>
      <c r="B244" s="699"/>
      <c r="C244" s="694"/>
      <c r="D244" s="707"/>
      <c r="E244" s="704"/>
      <c r="F244" s="699"/>
    </row>
    <row r="245" spans="1:6" s="690" customFormat="1">
      <c r="A245" s="737"/>
      <c r="B245" s="699"/>
      <c r="C245" s="694"/>
      <c r="D245" s="707"/>
      <c r="E245" s="704"/>
      <c r="F245" s="699"/>
    </row>
    <row r="246" spans="1:6" s="690" customFormat="1">
      <c r="A246" s="737"/>
      <c r="B246" s="699"/>
      <c r="C246" s="694"/>
      <c r="D246" s="707"/>
      <c r="E246" s="704"/>
      <c r="F246" s="699"/>
    </row>
    <row r="247" spans="1:6" s="690" customFormat="1">
      <c r="A247" s="737"/>
      <c r="B247" s="699"/>
      <c r="C247" s="694"/>
      <c r="D247" s="707"/>
      <c r="E247" s="704"/>
      <c r="F247" s="699"/>
    </row>
    <row r="248" spans="1:6" s="690" customFormat="1">
      <c r="A248" s="737"/>
      <c r="B248" s="699"/>
      <c r="C248" s="694"/>
      <c r="D248" s="707"/>
      <c r="E248" s="704"/>
      <c r="F248" s="699"/>
    </row>
    <row r="249" spans="1:6" s="690" customFormat="1">
      <c r="A249" s="737"/>
      <c r="B249" s="699"/>
      <c r="C249" s="694"/>
      <c r="D249" s="707"/>
      <c r="E249" s="704"/>
      <c r="F249" s="699"/>
    </row>
    <row r="250" spans="1:6" s="690" customFormat="1">
      <c r="A250" s="737"/>
      <c r="B250" s="699"/>
      <c r="C250" s="694"/>
      <c r="D250" s="707"/>
      <c r="E250" s="704"/>
      <c r="F250" s="699"/>
    </row>
    <row r="251" spans="1:6" s="690" customFormat="1">
      <c r="A251" s="737"/>
      <c r="B251" s="699"/>
      <c r="C251" s="694"/>
      <c r="D251" s="707"/>
      <c r="E251" s="704"/>
      <c r="F251" s="699"/>
    </row>
    <row r="252" spans="1:6" s="690" customFormat="1">
      <c r="A252" s="737"/>
      <c r="B252" s="699"/>
      <c r="C252" s="694"/>
      <c r="D252" s="707"/>
      <c r="E252" s="704"/>
      <c r="F252" s="699"/>
    </row>
    <row r="253" spans="1:6" s="690" customFormat="1">
      <c r="A253" s="737"/>
      <c r="B253" s="699"/>
      <c r="C253" s="694"/>
      <c r="D253" s="707"/>
      <c r="E253" s="704"/>
      <c r="F253" s="699"/>
    </row>
    <row r="254" spans="1:6" s="690" customFormat="1">
      <c r="A254" s="737"/>
      <c r="B254" s="699"/>
      <c r="C254" s="694"/>
      <c r="D254" s="707"/>
      <c r="E254" s="704"/>
      <c r="F254" s="699"/>
    </row>
    <row r="255" spans="1:6" s="690" customFormat="1">
      <c r="A255" s="737"/>
      <c r="B255" s="699"/>
      <c r="C255" s="694"/>
      <c r="D255" s="707"/>
      <c r="E255" s="704"/>
      <c r="F255" s="699"/>
    </row>
    <row r="256" spans="1:6" s="690" customFormat="1">
      <c r="A256" s="737"/>
      <c r="B256" s="699"/>
      <c r="C256" s="694"/>
      <c r="D256" s="707"/>
      <c r="E256" s="704"/>
      <c r="F256" s="699"/>
    </row>
    <row r="257" spans="1:6" s="690" customFormat="1">
      <c r="A257" s="737"/>
      <c r="B257" s="699"/>
      <c r="C257" s="694"/>
      <c r="D257" s="707"/>
      <c r="E257" s="704"/>
      <c r="F257" s="699"/>
    </row>
    <row r="258" spans="1:6" s="690" customFormat="1">
      <c r="A258" s="737"/>
      <c r="B258" s="699"/>
      <c r="C258" s="694"/>
      <c r="D258" s="707"/>
      <c r="E258" s="704"/>
      <c r="F258" s="699"/>
    </row>
    <row r="259" spans="1:6" s="690" customFormat="1">
      <c r="A259" s="737"/>
      <c r="B259" s="699"/>
      <c r="C259" s="694"/>
      <c r="D259" s="707"/>
      <c r="E259" s="704"/>
      <c r="F259" s="699"/>
    </row>
    <row r="260" spans="1:6" s="690" customFormat="1">
      <c r="A260" s="737"/>
      <c r="B260" s="699"/>
      <c r="C260" s="694"/>
      <c r="D260" s="707"/>
      <c r="E260" s="704"/>
      <c r="F260" s="699"/>
    </row>
    <row r="261" spans="1:6" s="690" customFormat="1">
      <c r="A261" s="737"/>
      <c r="B261" s="699"/>
      <c r="C261" s="694"/>
      <c r="D261" s="707"/>
      <c r="E261" s="704"/>
      <c r="F261" s="699"/>
    </row>
    <row r="262" spans="1:6" s="690" customFormat="1">
      <c r="A262" s="737"/>
      <c r="B262" s="699"/>
      <c r="C262" s="694"/>
      <c r="D262" s="707"/>
      <c r="E262" s="704"/>
      <c r="F262" s="699"/>
    </row>
    <row r="263" spans="1:6" s="690" customFormat="1">
      <c r="A263" s="737"/>
      <c r="B263" s="699"/>
      <c r="C263" s="694"/>
      <c r="D263" s="707"/>
      <c r="E263" s="704"/>
      <c r="F263" s="699"/>
    </row>
    <row r="264" spans="1:6" s="690" customFormat="1">
      <c r="A264" s="737"/>
      <c r="B264" s="699"/>
      <c r="C264" s="694"/>
      <c r="D264" s="707"/>
      <c r="E264" s="704"/>
      <c r="F264" s="699"/>
    </row>
    <row r="265" spans="1:6" s="690" customFormat="1">
      <c r="A265" s="737"/>
      <c r="B265" s="699"/>
      <c r="C265" s="694"/>
      <c r="D265" s="707"/>
      <c r="E265" s="704"/>
      <c r="F265" s="699"/>
    </row>
    <row r="266" spans="1:6" s="690" customFormat="1">
      <c r="A266" s="737"/>
      <c r="B266" s="699"/>
      <c r="C266" s="694"/>
      <c r="D266" s="707"/>
      <c r="E266" s="704"/>
      <c r="F266" s="699"/>
    </row>
    <row r="267" spans="1:6" s="690" customFormat="1">
      <c r="A267" s="737"/>
      <c r="B267" s="699"/>
      <c r="C267" s="694"/>
      <c r="D267" s="707"/>
      <c r="E267" s="704"/>
      <c r="F267" s="699"/>
    </row>
    <row r="268" spans="1:6" s="690" customFormat="1">
      <c r="A268" s="737"/>
      <c r="B268" s="699"/>
      <c r="C268" s="694"/>
      <c r="D268" s="707"/>
      <c r="E268" s="704"/>
      <c r="F268" s="699"/>
    </row>
    <row r="269" spans="1:6" s="690" customFormat="1">
      <c r="A269" s="737"/>
      <c r="B269" s="699"/>
      <c r="C269" s="694"/>
      <c r="D269" s="707"/>
      <c r="E269" s="704"/>
      <c r="F269" s="699"/>
    </row>
    <row r="270" spans="1:6" s="690" customFormat="1">
      <c r="A270" s="737"/>
      <c r="B270" s="699"/>
      <c r="C270" s="694"/>
      <c r="D270" s="707"/>
      <c r="E270" s="704"/>
      <c r="F270" s="699"/>
    </row>
    <row r="271" spans="1:6" s="690" customFormat="1">
      <c r="A271" s="737"/>
      <c r="B271" s="699"/>
      <c r="C271" s="694"/>
      <c r="D271" s="707"/>
      <c r="E271" s="704"/>
      <c r="F271" s="699"/>
    </row>
    <row r="272" spans="1:6" s="690" customFormat="1">
      <c r="A272" s="737"/>
      <c r="B272" s="699"/>
      <c r="C272" s="694"/>
      <c r="D272" s="707"/>
      <c r="E272" s="704"/>
      <c r="F272" s="699"/>
    </row>
    <row r="273" spans="1:6" s="690" customFormat="1">
      <c r="A273" s="737"/>
      <c r="B273" s="699"/>
      <c r="C273" s="694"/>
      <c r="D273" s="707"/>
      <c r="E273" s="704"/>
      <c r="F273" s="699"/>
    </row>
    <row r="274" spans="1:6" s="690" customFormat="1">
      <c r="A274" s="737"/>
      <c r="B274" s="699"/>
      <c r="C274" s="694"/>
      <c r="D274" s="707"/>
      <c r="E274" s="704"/>
      <c r="F274" s="699"/>
    </row>
    <row r="275" spans="1:6" s="690" customFormat="1">
      <c r="A275" s="737"/>
      <c r="B275" s="699"/>
      <c r="C275" s="694"/>
      <c r="D275" s="707"/>
      <c r="E275" s="704"/>
      <c r="F275" s="699"/>
    </row>
    <row r="276" spans="1:6" s="690" customFormat="1">
      <c r="A276" s="737"/>
      <c r="B276" s="699"/>
      <c r="C276" s="694"/>
      <c r="D276" s="707"/>
      <c r="E276" s="704"/>
      <c r="F276" s="699"/>
    </row>
    <row r="277" spans="1:6" s="690" customFormat="1">
      <c r="A277" s="737"/>
      <c r="B277" s="699"/>
      <c r="C277" s="694"/>
      <c r="D277" s="707"/>
      <c r="E277" s="704"/>
      <c r="F277" s="699"/>
    </row>
    <row r="278" spans="1:6" s="690" customFormat="1">
      <c r="A278" s="737"/>
      <c r="B278" s="699"/>
      <c r="C278" s="694"/>
      <c r="D278" s="707"/>
      <c r="E278" s="704"/>
      <c r="F278" s="699"/>
    </row>
    <row r="279" spans="1:6" s="690" customFormat="1">
      <c r="A279" s="737"/>
      <c r="B279" s="699"/>
      <c r="C279" s="694"/>
      <c r="D279" s="707"/>
      <c r="E279" s="704"/>
      <c r="F279" s="699"/>
    </row>
    <row r="280" spans="1:6" s="690" customFormat="1">
      <c r="A280" s="737"/>
      <c r="B280" s="699"/>
      <c r="C280" s="694"/>
      <c r="D280" s="707"/>
      <c r="E280" s="704"/>
      <c r="F280" s="699"/>
    </row>
    <row r="281" spans="1:6" s="690" customFormat="1">
      <c r="A281" s="737"/>
      <c r="B281" s="699"/>
      <c r="C281" s="694"/>
      <c r="D281" s="707"/>
      <c r="E281" s="704"/>
      <c r="F281" s="699"/>
    </row>
    <row r="282" spans="1:6" s="690" customFormat="1">
      <c r="A282" s="737"/>
      <c r="B282" s="699"/>
      <c r="C282" s="694"/>
      <c r="D282" s="707"/>
      <c r="E282" s="704"/>
      <c r="F282" s="699"/>
    </row>
    <row r="283" spans="1:6" s="690" customFormat="1">
      <c r="A283" s="737"/>
      <c r="B283" s="699"/>
      <c r="C283" s="694"/>
      <c r="D283" s="707"/>
      <c r="E283" s="704"/>
      <c r="F283" s="699"/>
    </row>
    <row r="284" spans="1:6" s="690" customFormat="1">
      <c r="A284" s="737"/>
      <c r="B284" s="699"/>
      <c r="C284" s="694"/>
      <c r="D284" s="707"/>
      <c r="E284" s="704"/>
      <c r="F284" s="699"/>
    </row>
    <row r="285" spans="1:6" s="690" customFormat="1">
      <c r="A285" s="737"/>
      <c r="B285" s="699"/>
      <c r="C285" s="694"/>
      <c r="D285" s="707"/>
      <c r="E285" s="704"/>
      <c r="F285" s="699"/>
    </row>
    <row r="286" spans="1:6" s="690" customFormat="1">
      <c r="A286" s="737"/>
      <c r="B286" s="699"/>
      <c r="C286" s="694"/>
      <c r="D286" s="707"/>
      <c r="E286" s="704"/>
      <c r="F286" s="699"/>
    </row>
    <row r="287" spans="1:6" s="690" customFormat="1">
      <c r="A287" s="737"/>
      <c r="B287" s="699"/>
      <c r="C287" s="694"/>
      <c r="D287" s="707"/>
      <c r="E287" s="704"/>
      <c r="F287" s="699"/>
    </row>
    <row r="288" spans="1:6" s="690" customFormat="1">
      <c r="A288" s="737"/>
      <c r="B288" s="699"/>
      <c r="C288" s="694"/>
      <c r="D288" s="707"/>
      <c r="E288" s="704"/>
      <c r="F288" s="699"/>
    </row>
    <row r="289" spans="1:6" s="690" customFormat="1">
      <c r="A289" s="737"/>
      <c r="B289" s="699"/>
      <c r="C289" s="694"/>
      <c r="D289" s="707"/>
      <c r="E289" s="704"/>
      <c r="F289" s="699"/>
    </row>
    <row r="290" spans="1:6" s="690" customFormat="1">
      <c r="A290" s="737"/>
      <c r="B290" s="699"/>
      <c r="C290" s="694"/>
      <c r="D290" s="707"/>
      <c r="E290" s="704"/>
      <c r="F290" s="699"/>
    </row>
    <row r="291" spans="1:6" s="690" customFormat="1">
      <c r="A291" s="737"/>
      <c r="B291" s="699"/>
      <c r="C291" s="694"/>
      <c r="D291" s="707"/>
      <c r="E291" s="704"/>
      <c r="F291" s="699"/>
    </row>
    <row r="292" spans="1:6" s="690" customFormat="1">
      <c r="A292" s="737"/>
      <c r="B292" s="699"/>
      <c r="C292" s="694"/>
      <c r="D292" s="707"/>
      <c r="E292" s="704"/>
      <c r="F292" s="699"/>
    </row>
    <row r="293" spans="1:6" s="690" customFormat="1">
      <c r="A293" s="737"/>
      <c r="B293" s="699"/>
      <c r="C293" s="694"/>
      <c r="D293" s="707"/>
      <c r="E293" s="704"/>
      <c r="F293" s="699"/>
    </row>
    <row r="294" spans="1:6" s="690" customFormat="1">
      <c r="A294" s="737"/>
      <c r="B294" s="699"/>
      <c r="C294" s="694"/>
      <c r="D294" s="707"/>
      <c r="E294" s="704"/>
      <c r="F294" s="699"/>
    </row>
    <row r="295" spans="1:6" s="690" customFormat="1">
      <c r="A295" s="737"/>
      <c r="B295" s="699"/>
      <c r="C295" s="694"/>
      <c r="D295" s="707"/>
      <c r="E295" s="704"/>
      <c r="F295" s="699"/>
    </row>
    <row r="296" spans="1:6" s="690" customFormat="1">
      <c r="A296" s="737"/>
      <c r="B296" s="699"/>
      <c r="C296" s="694"/>
      <c r="D296" s="707"/>
      <c r="E296" s="704"/>
      <c r="F296" s="699"/>
    </row>
    <row r="297" spans="1:6" s="690" customFormat="1">
      <c r="A297" s="737"/>
      <c r="B297" s="699"/>
      <c r="C297" s="694"/>
      <c r="D297" s="707"/>
      <c r="E297" s="704"/>
      <c r="F297" s="699"/>
    </row>
    <row r="298" spans="1:6" s="690" customFormat="1">
      <c r="A298" s="737"/>
      <c r="B298" s="699"/>
      <c r="C298" s="694"/>
      <c r="D298" s="707"/>
      <c r="E298" s="704"/>
      <c r="F298" s="699"/>
    </row>
    <row r="299" spans="1:6" s="690" customFormat="1">
      <c r="A299" s="737"/>
      <c r="B299" s="699"/>
      <c r="C299" s="694"/>
      <c r="D299" s="707"/>
      <c r="E299" s="704"/>
      <c r="F299" s="699"/>
    </row>
    <row r="300" spans="1:6" s="690" customFormat="1">
      <c r="A300" s="737"/>
      <c r="B300" s="699"/>
      <c r="C300" s="694"/>
      <c r="D300" s="707"/>
      <c r="E300" s="704"/>
      <c r="F300" s="699"/>
    </row>
    <row r="301" spans="1:6" s="690" customFormat="1">
      <c r="A301" s="737"/>
      <c r="B301" s="699"/>
      <c r="C301" s="694"/>
      <c r="D301" s="707"/>
      <c r="E301" s="704"/>
      <c r="F301" s="699"/>
    </row>
    <row r="302" spans="1:6" s="690" customFormat="1">
      <c r="A302" s="737"/>
      <c r="B302" s="699"/>
      <c r="C302" s="694"/>
      <c r="D302" s="707"/>
      <c r="E302" s="704"/>
      <c r="F302" s="699"/>
    </row>
    <row r="303" spans="1:6" s="690" customFormat="1">
      <c r="A303" s="737"/>
      <c r="B303" s="699"/>
      <c r="C303" s="694"/>
      <c r="D303" s="707"/>
      <c r="E303" s="704"/>
      <c r="F303" s="699"/>
    </row>
    <row r="304" spans="1:6" s="690" customFormat="1">
      <c r="A304" s="737"/>
      <c r="B304" s="699"/>
      <c r="C304" s="694"/>
      <c r="D304" s="707"/>
      <c r="E304" s="704"/>
      <c r="F304" s="699"/>
    </row>
    <row r="305" spans="1:6" s="690" customFormat="1">
      <c r="A305" s="737"/>
      <c r="B305" s="699"/>
      <c r="C305" s="694"/>
      <c r="D305" s="707"/>
      <c r="E305" s="704"/>
      <c r="F305" s="699"/>
    </row>
    <row r="306" spans="1:6" s="690" customFormat="1">
      <c r="A306" s="737"/>
      <c r="B306" s="699"/>
      <c r="C306" s="694"/>
      <c r="D306" s="707"/>
      <c r="E306" s="704"/>
      <c r="F306" s="699"/>
    </row>
    <row r="307" spans="1:6" s="690" customFormat="1">
      <c r="A307" s="737"/>
      <c r="B307" s="699"/>
      <c r="C307" s="694"/>
      <c r="D307" s="707"/>
      <c r="E307" s="704"/>
      <c r="F307" s="699"/>
    </row>
    <row r="308" spans="1:6" s="690" customFormat="1">
      <c r="A308" s="737"/>
      <c r="B308" s="699"/>
      <c r="C308" s="694"/>
      <c r="D308" s="707"/>
      <c r="E308" s="704"/>
      <c r="F308" s="699"/>
    </row>
    <row r="309" spans="1:6" s="690" customFormat="1">
      <c r="A309" s="737"/>
      <c r="B309" s="699"/>
      <c r="C309" s="694"/>
      <c r="D309" s="707"/>
      <c r="E309" s="704"/>
      <c r="F309" s="699"/>
    </row>
    <row r="310" spans="1:6" s="690" customFormat="1">
      <c r="A310" s="737"/>
      <c r="B310" s="699"/>
      <c r="C310" s="694"/>
      <c r="D310" s="707"/>
      <c r="E310" s="704"/>
      <c r="F310" s="699"/>
    </row>
    <row r="311" spans="1:6" s="690" customFormat="1">
      <c r="A311" s="737"/>
      <c r="B311" s="699"/>
      <c r="C311" s="694"/>
      <c r="D311" s="707"/>
      <c r="E311" s="704"/>
      <c r="F311" s="699"/>
    </row>
    <row r="312" spans="1:6" s="690" customFormat="1">
      <c r="A312" s="737"/>
      <c r="B312" s="699"/>
      <c r="C312" s="694"/>
      <c r="D312" s="707"/>
      <c r="E312" s="704"/>
      <c r="F312" s="699"/>
    </row>
    <row r="313" spans="1:6" s="690" customFormat="1">
      <c r="A313" s="737"/>
      <c r="B313" s="699"/>
      <c r="C313" s="694"/>
      <c r="D313" s="707"/>
      <c r="E313" s="704"/>
      <c r="F313" s="699"/>
    </row>
    <row r="314" spans="1:6" s="690" customFormat="1">
      <c r="A314" s="737"/>
      <c r="B314" s="699"/>
      <c r="C314" s="694"/>
      <c r="D314" s="707"/>
      <c r="E314" s="704"/>
      <c r="F314" s="699"/>
    </row>
    <row r="315" spans="1:6" s="690" customFormat="1">
      <c r="A315" s="737"/>
      <c r="B315" s="699"/>
      <c r="C315" s="694"/>
      <c r="D315" s="707"/>
      <c r="E315" s="704"/>
      <c r="F315" s="699"/>
    </row>
    <row r="316" spans="1:6" s="690" customFormat="1">
      <c r="A316" s="737"/>
      <c r="B316" s="699"/>
      <c r="C316" s="694"/>
      <c r="D316" s="707"/>
      <c r="E316" s="704"/>
      <c r="F316" s="699"/>
    </row>
    <row r="317" spans="1:6" s="690" customFormat="1">
      <c r="A317" s="737"/>
      <c r="B317" s="699"/>
      <c r="C317" s="694"/>
      <c r="D317" s="707"/>
      <c r="E317" s="704"/>
      <c r="F317" s="699"/>
    </row>
    <row r="318" spans="1:6" s="690" customFormat="1">
      <c r="A318" s="737"/>
      <c r="B318" s="699"/>
      <c r="C318" s="694"/>
      <c r="D318" s="707"/>
      <c r="E318" s="704"/>
      <c r="F318" s="699"/>
    </row>
    <row r="319" spans="1:6" s="690" customFormat="1">
      <c r="A319" s="737"/>
      <c r="B319" s="699"/>
      <c r="C319" s="694"/>
      <c r="D319" s="707"/>
      <c r="E319" s="704"/>
      <c r="F319" s="699"/>
    </row>
    <row r="320" spans="1:6" s="690" customFormat="1">
      <c r="A320" s="737"/>
      <c r="B320" s="699"/>
      <c r="C320" s="694"/>
      <c r="D320" s="707"/>
      <c r="E320" s="704"/>
      <c r="F320" s="699"/>
    </row>
    <row r="321" spans="1:6" s="690" customFormat="1">
      <c r="A321" s="737"/>
      <c r="B321" s="699"/>
      <c r="C321" s="694"/>
      <c r="D321" s="707"/>
      <c r="E321" s="704"/>
      <c r="F321" s="699"/>
    </row>
    <row r="322" spans="1:6" s="690" customFormat="1">
      <c r="A322" s="737"/>
      <c r="B322" s="699"/>
      <c r="C322" s="694"/>
      <c r="D322" s="707"/>
      <c r="E322" s="704"/>
      <c r="F322" s="699"/>
    </row>
    <row r="323" spans="1:6" s="690" customFormat="1">
      <c r="A323" s="737"/>
      <c r="B323" s="699"/>
      <c r="C323" s="694"/>
      <c r="D323" s="707"/>
      <c r="E323" s="704"/>
      <c r="F323" s="699"/>
    </row>
    <row r="324" spans="1:6" s="690" customFormat="1">
      <c r="A324" s="737"/>
      <c r="B324" s="699"/>
      <c r="C324" s="694"/>
      <c r="D324" s="707"/>
      <c r="E324" s="704"/>
      <c r="F324" s="699"/>
    </row>
    <row r="325" spans="1:6" s="690" customFormat="1">
      <c r="A325" s="737"/>
      <c r="B325" s="699"/>
      <c r="C325" s="694"/>
      <c r="D325" s="707"/>
      <c r="E325" s="704"/>
      <c r="F325" s="699"/>
    </row>
    <row r="326" spans="1:6" s="690" customFormat="1">
      <c r="A326" s="737"/>
      <c r="B326" s="699"/>
      <c r="C326" s="694"/>
      <c r="D326" s="707"/>
      <c r="E326" s="704"/>
      <c r="F326" s="699"/>
    </row>
    <row r="327" spans="1:6" s="690" customFormat="1">
      <c r="A327" s="737"/>
      <c r="B327" s="699"/>
      <c r="C327" s="694"/>
      <c r="D327" s="707"/>
      <c r="E327" s="704"/>
      <c r="F327" s="699"/>
    </row>
    <row r="328" spans="1:6" s="690" customFormat="1">
      <c r="A328" s="737"/>
      <c r="B328" s="699"/>
      <c r="C328" s="694"/>
      <c r="D328" s="707"/>
      <c r="E328" s="704"/>
      <c r="F328" s="699"/>
    </row>
    <row r="329" spans="1:6" s="690" customFormat="1">
      <c r="A329" s="737"/>
      <c r="B329" s="699"/>
      <c r="C329" s="694"/>
      <c r="D329" s="707"/>
      <c r="E329" s="704"/>
      <c r="F329" s="699"/>
    </row>
    <row r="330" spans="1:6" s="690" customFormat="1">
      <c r="A330" s="737"/>
      <c r="B330" s="699"/>
      <c r="C330" s="694"/>
      <c r="D330" s="707"/>
      <c r="E330" s="704"/>
      <c r="F330" s="699"/>
    </row>
    <row r="331" spans="1:6" s="690" customFormat="1">
      <c r="A331" s="737"/>
      <c r="B331" s="699"/>
      <c r="C331" s="694"/>
      <c r="D331" s="707"/>
      <c r="E331" s="704"/>
      <c r="F331" s="699"/>
    </row>
    <row r="332" spans="1:6" s="690" customFormat="1">
      <c r="A332" s="737"/>
      <c r="B332" s="699"/>
      <c r="C332" s="694"/>
      <c r="D332" s="707"/>
      <c r="E332" s="704"/>
      <c r="F332" s="699"/>
    </row>
    <row r="333" spans="1:6" s="690" customFormat="1">
      <c r="A333" s="737"/>
      <c r="B333" s="699"/>
      <c r="C333" s="694"/>
      <c r="D333" s="707"/>
      <c r="E333" s="704"/>
      <c r="F333" s="699"/>
    </row>
    <row r="334" spans="1:6" s="690" customFormat="1">
      <c r="A334" s="737"/>
      <c r="B334" s="699"/>
      <c r="C334" s="694"/>
      <c r="D334" s="707"/>
      <c r="E334" s="704"/>
      <c r="F334" s="699"/>
    </row>
    <row r="335" spans="1:6" s="690" customFormat="1">
      <c r="A335" s="737"/>
      <c r="B335" s="699"/>
      <c r="C335" s="694"/>
      <c r="D335" s="707"/>
      <c r="E335" s="704"/>
      <c r="F335" s="699"/>
    </row>
    <row r="336" spans="1:6" s="690" customFormat="1">
      <c r="A336" s="737"/>
      <c r="B336" s="699"/>
      <c r="C336" s="694"/>
      <c r="D336" s="707"/>
      <c r="E336" s="704"/>
      <c r="F336" s="699"/>
    </row>
    <row r="337" spans="1:6" s="690" customFormat="1">
      <c r="A337" s="737"/>
      <c r="B337" s="699"/>
      <c r="C337" s="694"/>
      <c r="D337" s="707"/>
      <c r="E337" s="704"/>
      <c r="F337" s="699"/>
    </row>
    <row r="338" spans="1:6" s="690" customFormat="1">
      <c r="A338" s="737"/>
      <c r="B338" s="699"/>
      <c r="C338" s="694"/>
      <c r="D338" s="707"/>
      <c r="E338" s="704"/>
      <c r="F338" s="699"/>
    </row>
    <row r="339" spans="1:6" s="690" customFormat="1">
      <c r="A339" s="737"/>
      <c r="B339" s="699"/>
      <c r="C339" s="694"/>
      <c r="D339" s="707"/>
      <c r="E339" s="704"/>
      <c r="F339" s="699"/>
    </row>
    <row r="340" spans="1:6" s="690" customFormat="1">
      <c r="A340" s="737"/>
      <c r="B340" s="699"/>
      <c r="C340" s="694"/>
      <c r="D340" s="707"/>
      <c r="E340" s="704"/>
      <c r="F340" s="699"/>
    </row>
    <row r="341" spans="1:6" s="690" customFormat="1">
      <c r="A341" s="737"/>
      <c r="B341" s="699"/>
      <c r="C341" s="694"/>
      <c r="D341" s="707"/>
      <c r="E341" s="704"/>
      <c r="F341" s="699"/>
    </row>
    <row r="342" spans="1:6" s="690" customFormat="1">
      <c r="A342" s="737"/>
      <c r="B342" s="699"/>
      <c r="C342" s="694"/>
      <c r="D342" s="707"/>
      <c r="E342" s="704"/>
      <c r="F342" s="699"/>
    </row>
    <row r="343" spans="1:6" s="690" customFormat="1">
      <c r="A343" s="737"/>
      <c r="B343" s="699"/>
      <c r="C343" s="694"/>
      <c r="D343" s="707"/>
      <c r="E343" s="704"/>
      <c r="F343" s="699"/>
    </row>
    <row r="344" spans="1:6" s="690" customFormat="1">
      <c r="A344" s="737"/>
      <c r="B344" s="699"/>
      <c r="C344" s="694"/>
      <c r="D344" s="707"/>
      <c r="E344" s="704"/>
      <c r="F344" s="699"/>
    </row>
    <row r="345" spans="1:6" s="690" customFormat="1">
      <c r="A345" s="737"/>
      <c r="B345" s="699"/>
      <c r="C345" s="694"/>
      <c r="D345" s="707"/>
      <c r="E345" s="704"/>
      <c r="F345" s="699"/>
    </row>
    <row r="346" spans="1:6" s="690" customFormat="1">
      <c r="A346" s="737"/>
      <c r="B346" s="699"/>
      <c r="C346" s="694"/>
      <c r="D346" s="707"/>
      <c r="E346" s="704"/>
      <c r="F346" s="699"/>
    </row>
    <row r="347" spans="1:6" s="690" customFormat="1">
      <c r="A347" s="737"/>
      <c r="B347" s="699"/>
      <c r="C347" s="694"/>
      <c r="D347" s="707"/>
      <c r="E347" s="704"/>
      <c r="F347" s="699"/>
    </row>
    <row r="348" spans="1:6" s="690" customFormat="1">
      <c r="A348" s="737"/>
      <c r="B348" s="699"/>
      <c r="C348" s="694"/>
      <c r="D348" s="707"/>
      <c r="E348" s="704"/>
      <c r="F348" s="699"/>
    </row>
    <row r="349" spans="1:6" s="690" customFormat="1">
      <c r="A349" s="737"/>
      <c r="B349" s="699"/>
      <c r="C349" s="694"/>
      <c r="D349" s="707"/>
      <c r="E349" s="704"/>
      <c r="F349" s="699"/>
    </row>
    <row r="350" spans="1:6" s="690" customFormat="1">
      <c r="A350" s="737"/>
      <c r="B350" s="699"/>
      <c r="C350" s="694"/>
      <c r="D350" s="707"/>
      <c r="E350" s="704"/>
      <c r="F350" s="699"/>
    </row>
    <row r="351" spans="1:6" s="690" customFormat="1">
      <c r="A351" s="737"/>
      <c r="B351" s="699"/>
      <c r="C351" s="694"/>
      <c r="D351" s="707"/>
      <c r="E351" s="704"/>
      <c r="F351" s="699"/>
    </row>
    <row r="352" spans="1:6" s="690" customFormat="1">
      <c r="A352" s="737"/>
      <c r="B352" s="699"/>
      <c r="C352" s="694"/>
      <c r="D352" s="707"/>
      <c r="E352" s="704"/>
      <c r="F352" s="699"/>
    </row>
    <row r="353" spans="1:6" s="690" customFormat="1">
      <c r="A353" s="737"/>
      <c r="B353" s="699"/>
      <c r="C353" s="694"/>
      <c r="D353" s="707"/>
      <c r="E353" s="704"/>
      <c r="F353" s="699"/>
    </row>
    <row r="354" spans="1:6" s="690" customFormat="1">
      <c r="A354" s="737"/>
      <c r="B354" s="699"/>
      <c r="C354" s="694"/>
      <c r="D354" s="707"/>
      <c r="E354" s="704"/>
      <c r="F354" s="699"/>
    </row>
    <row r="355" spans="1:6" s="690" customFormat="1">
      <c r="A355" s="737"/>
      <c r="B355" s="699"/>
      <c r="C355" s="694"/>
      <c r="D355" s="707"/>
      <c r="E355" s="704"/>
      <c r="F355" s="699"/>
    </row>
    <row r="356" spans="1:6" s="690" customFormat="1">
      <c r="A356" s="737"/>
      <c r="B356" s="699"/>
      <c r="C356" s="694"/>
      <c r="D356" s="707"/>
      <c r="E356" s="704"/>
      <c r="F356" s="699"/>
    </row>
    <row r="357" spans="1:6" s="690" customFormat="1">
      <c r="A357" s="737"/>
      <c r="B357" s="699"/>
      <c r="C357" s="694"/>
      <c r="D357" s="707"/>
      <c r="E357" s="704"/>
      <c r="F357" s="699"/>
    </row>
    <row r="358" spans="1:6" s="690" customFormat="1">
      <c r="A358" s="737"/>
      <c r="B358" s="699"/>
      <c r="C358" s="694"/>
      <c r="D358" s="707"/>
      <c r="E358" s="704"/>
      <c r="F358" s="699"/>
    </row>
    <row r="359" spans="1:6" s="690" customFormat="1">
      <c r="A359" s="737"/>
      <c r="B359" s="699"/>
      <c r="C359" s="694"/>
      <c r="D359" s="707"/>
      <c r="E359" s="704"/>
      <c r="F359" s="699"/>
    </row>
    <row r="360" spans="1:6" s="690" customFormat="1">
      <c r="A360" s="737"/>
      <c r="B360" s="699"/>
      <c r="C360" s="694"/>
      <c r="D360" s="707"/>
      <c r="E360" s="704"/>
      <c r="F360" s="699"/>
    </row>
    <row r="361" spans="1:6" s="690" customFormat="1">
      <c r="A361" s="737"/>
      <c r="B361" s="699"/>
      <c r="C361" s="694"/>
      <c r="D361" s="707"/>
      <c r="E361" s="704"/>
      <c r="F361" s="699"/>
    </row>
    <row r="362" spans="1:6" s="690" customFormat="1">
      <c r="A362" s="737"/>
      <c r="B362" s="699"/>
      <c r="C362" s="694"/>
      <c r="D362" s="707"/>
      <c r="E362" s="704"/>
      <c r="F362" s="699"/>
    </row>
    <row r="363" spans="1:6" s="690" customFormat="1">
      <c r="A363" s="737"/>
      <c r="B363" s="699"/>
      <c r="C363" s="694"/>
      <c r="D363" s="707"/>
      <c r="E363" s="704"/>
      <c r="F363" s="699"/>
    </row>
    <row r="364" spans="1:6" s="690" customFormat="1">
      <c r="A364" s="737"/>
      <c r="B364" s="699"/>
      <c r="C364" s="694"/>
      <c r="D364" s="707"/>
      <c r="E364" s="704"/>
      <c r="F364" s="699"/>
    </row>
    <row r="365" spans="1:6" s="690" customFormat="1">
      <c r="A365" s="737"/>
      <c r="B365" s="699"/>
      <c r="C365" s="694"/>
      <c r="D365" s="707"/>
      <c r="E365" s="704"/>
      <c r="F365" s="699"/>
    </row>
    <row r="366" spans="1:6" s="690" customFormat="1">
      <c r="A366" s="737"/>
      <c r="B366" s="699"/>
      <c r="C366" s="694"/>
      <c r="D366" s="707"/>
      <c r="E366" s="704"/>
      <c r="F366" s="699"/>
    </row>
    <row r="367" spans="1:6" s="690" customFormat="1">
      <c r="A367" s="737"/>
      <c r="B367" s="699"/>
      <c r="C367" s="694"/>
      <c r="D367" s="707"/>
      <c r="E367" s="704"/>
      <c r="F367" s="699"/>
    </row>
    <row r="368" spans="1:6" s="690" customFormat="1">
      <c r="A368" s="737"/>
      <c r="B368" s="699"/>
      <c r="C368" s="694"/>
      <c r="D368" s="707"/>
      <c r="E368" s="704"/>
      <c r="F368" s="699"/>
    </row>
    <row r="369" spans="1:6" s="690" customFormat="1">
      <c r="A369" s="737"/>
      <c r="B369" s="699"/>
      <c r="C369" s="694"/>
      <c r="D369" s="707"/>
      <c r="E369" s="704"/>
      <c r="F369" s="699"/>
    </row>
    <row r="370" spans="1:6" s="690" customFormat="1">
      <c r="A370" s="737"/>
      <c r="B370" s="699"/>
      <c r="C370" s="694"/>
      <c r="D370" s="707"/>
      <c r="E370" s="704"/>
      <c r="F370" s="699"/>
    </row>
    <row r="371" spans="1:6" s="690" customFormat="1">
      <c r="A371" s="737"/>
      <c r="B371" s="699"/>
      <c r="C371" s="694"/>
      <c r="D371" s="707"/>
      <c r="E371" s="704"/>
      <c r="F371" s="699"/>
    </row>
    <row r="372" spans="1:6" s="690" customFormat="1">
      <c r="A372" s="737"/>
      <c r="B372" s="699"/>
      <c r="C372" s="694"/>
      <c r="D372" s="707"/>
      <c r="E372" s="704"/>
      <c r="F372" s="699"/>
    </row>
    <row r="373" spans="1:6" s="690" customFormat="1">
      <c r="A373" s="737"/>
      <c r="B373" s="699"/>
      <c r="C373" s="694"/>
      <c r="D373" s="707"/>
      <c r="E373" s="704"/>
      <c r="F373" s="699"/>
    </row>
    <row r="374" spans="1:6" s="690" customFormat="1">
      <c r="A374" s="737"/>
      <c r="B374" s="699"/>
      <c r="C374" s="694"/>
      <c r="D374" s="707"/>
      <c r="E374" s="704"/>
      <c r="F374" s="699"/>
    </row>
    <row r="375" spans="1:6" s="690" customFormat="1">
      <c r="A375" s="737"/>
      <c r="B375" s="699"/>
      <c r="C375" s="694"/>
      <c r="D375" s="707"/>
      <c r="E375" s="704"/>
      <c r="F375" s="699"/>
    </row>
    <row r="376" spans="1:6" s="690" customFormat="1">
      <c r="A376" s="737"/>
      <c r="B376" s="699"/>
      <c r="C376" s="694"/>
      <c r="D376" s="707"/>
      <c r="E376" s="704"/>
      <c r="F376" s="699"/>
    </row>
    <row r="377" spans="1:6" s="690" customFormat="1">
      <c r="A377" s="737"/>
      <c r="B377" s="699"/>
      <c r="C377" s="694"/>
      <c r="D377" s="707"/>
      <c r="E377" s="704"/>
      <c r="F377" s="699"/>
    </row>
    <row r="378" spans="1:6" s="690" customFormat="1">
      <c r="A378" s="737"/>
      <c r="B378" s="699"/>
      <c r="C378" s="694"/>
      <c r="D378" s="707"/>
      <c r="E378" s="704"/>
      <c r="F378" s="699"/>
    </row>
    <row r="379" spans="1:6" s="690" customFormat="1">
      <c r="A379" s="737"/>
      <c r="B379" s="699"/>
      <c r="C379" s="694"/>
      <c r="D379" s="707"/>
      <c r="E379" s="704"/>
      <c r="F379" s="699"/>
    </row>
    <row r="380" spans="1:6" s="690" customFormat="1">
      <c r="A380" s="737"/>
      <c r="B380" s="699"/>
      <c r="C380" s="694"/>
      <c r="D380" s="707"/>
      <c r="E380" s="704"/>
      <c r="F380" s="699"/>
    </row>
    <row r="381" spans="1:6" s="690" customFormat="1">
      <c r="A381" s="737"/>
      <c r="B381" s="699"/>
      <c r="C381" s="694"/>
      <c r="D381" s="707"/>
      <c r="E381" s="704"/>
      <c r="F381" s="699"/>
    </row>
    <row r="382" spans="1:6" s="690" customFormat="1">
      <c r="A382" s="737"/>
      <c r="B382" s="699"/>
      <c r="C382" s="694"/>
      <c r="D382" s="707"/>
      <c r="E382" s="704"/>
      <c r="F382" s="699"/>
    </row>
    <row r="383" spans="1:6" s="690" customFormat="1">
      <c r="A383" s="737"/>
      <c r="B383" s="699"/>
      <c r="C383" s="694"/>
      <c r="D383" s="707"/>
      <c r="E383" s="704"/>
      <c r="F383" s="699"/>
    </row>
    <row r="384" spans="1:6" s="690" customFormat="1">
      <c r="A384" s="737"/>
      <c r="B384" s="699"/>
      <c r="C384" s="694"/>
      <c r="D384" s="707"/>
      <c r="E384" s="704"/>
      <c r="F384" s="699"/>
    </row>
    <row r="385" spans="1:6" s="690" customFormat="1">
      <c r="A385" s="737"/>
      <c r="B385" s="699"/>
      <c r="C385" s="694"/>
      <c r="D385" s="707"/>
      <c r="E385" s="704"/>
      <c r="F385" s="699"/>
    </row>
    <row r="386" spans="1:6" s="690" customFormat="1">
      <c r="A386" s="737"/>
      <c r="B386" s="699"/>
      <c r="C386" s="694"/>
      <c r="D386" s="707"/>
      <c r="E386" s="704"/>
      <c r="F386" s="699"/>
    </row>
    <row r="387" spans="1:6" s="690" customFormat="1">
      <c r="A387" s="737"/>
      <c r="B387" s="699"/>
      <c r="C387" s="694"/>
      <c r="D387" s="707"/>
      <c r="E387" s="704"/>
      <c r="F387" s="699"/>
    </row>
    <row r="388" spans="1:6" s="690" customFormat="1">
      <c r="A388" s="737"/>
      <c r="B388" s="699"/>
      <c r="C388" s="694"/>
      <c r="D388" s="707"/>
      <c r="E388" s="704"/>
      <c r="F388" s="699"/>
    </row>
    <row r="389" spans="1:6" s="690" customFormat="1">
      <c r="A389" s="737"/>
      <c r="B389" s="699"/>
      <c r="C389" s="694"/>
      <c r="D389" s="707"/>
      <c r="E389" s="704"/>
      <c r="F389" s="699"/>
    </row>
    <row r="390" spans="1:6" s="690" customFormat="1">
      <c r="A390" s="737"/>
      <c r="B390" s="699"/>
      <c r="C390" s="694"/>
      <c r="D390" s="707"/>
      <c r="E390" s="704"/>
      <c r="F390" s="699"/>
    </row>
    <row r="391" spans="1:6" s="690" customFormat="1">
      <c r="A391" s="737"/>
      <c r="B391" s="699"/>
      <c r="C391" s="694"/>
      <c r="D391" s="707"/>
      <c r="E391" s="704"/>
      <c r="F391" s="699"/>
    </row>
    <row r="392" spans="1:6" s="690" customFormat="1">
      <c r="A392" s="737"/>
      <c r="B392" s="699"/>
      <c r="C392" s="694"/>
      <c r="D392" s="707"/>
      <c r="E392" s="704"/>
      <c r="F392" s="699"/>
    </row>
    <row r="393" spans="1:6" s="690" customFormat="1">
      <c r="A393" s="737"/>
      <c r="B393" s="699"/>
      <c r="C393" s="694"/>
      <c r="D393" s="707"/>
      <c r="E393" s="704"/>
      <c r="F393" s="699"/>
    </row>
    <row r="394" spans="1:6" s="690" customFormat="1">
      <c r="A394" s="737"/>
      <c r="B394" s="699"/>
      <c r="C394" s="694"/>
      <c r="D394" s="707"/>
      <c r="E394" s="704"/>
      <c r="F394" s="699"/>
    </row>
    <row r="395" spans="1:6" s="690" customFormat="1">
      <c r="A395" s="737"/>
      <c r="B395" s="699"/>
      <c r="C395" s="694"/>
      <c r="D395" s="707"/>
      <c r="E395" s="704"/>
      <c r="F395" s="699"/>
    </row>
    <row r="396" spans="1:6" s="690" customFormat="1">
      <c r="A396" s="737"/>
      <c r="B396" s="699"/>
      <c r="C396" s="694"/>
      <c r="D396" s="707"/>
      <c r="E396" s="704"/>
      <c r="F396" s="699"/>
    </row>
    <row r="397" spans="1:6" s="690" customFormat="1">
      <c r="A397" s="737"/>
      <c r="B397" s="699"/>
      <c r="C397" s="694"/>
      <c r="D397" s="707"/>
      <c r="E397" s="704"/>
      <c r="F397" s="699"/>
    </row>
    <row r="398" spans="1:6" s="690" customFormat="1">
      <c r="A398" s="737"/>
      <c r="B398" s="699"/>
      <c r="C398" s="694"/>
      <c r="D398" s="707"/>
      <c r="E398" s="704"/>
      <c r="F398" s="699"/>
    </row>
    <row r="399" spans="1:6" s="690" customFormat="1">
      <c r="A399" s="737"/>
      <c r="B399" s="699"/>
      <c r="C399" s="694"/>
      <c r="D399" s="707"/>
      <c r="E399" s="704"/>
      <c r="F399" s="699"/>
    </row>
    <row r="400" spans="1:6" s="690" customFormat="1">
      <c r="A400" s="737"/>
      <c r="B400" s="699"/>
      <c r="C400" s="694"/>
      <c r="D400" s="707"/>
      <c r="E400" s="704"/>
      <c r="F400" s="699"/>
    </row>
    <row r="401" spans="1:6" s="690" customFormat="1">
      <c r="A401" s="737"/>
      <c r="B401" s="699"/>
      <c r="C401" s="694"/>
      <c r="D401" s="707"/>
      <c r="E401" s="704"/>
      <c r="F401" s="699"/>
    </row>
    <row r="402" spans="1:6" s="690" customFormat="1">
      <c r="A402" s="737"/>
      <c r="B402" s="699"/>
      <c r="C402" s="694"/>
      <c r="D402" s="707"/>
      <c r="E402" s="704"/>
      <c r="F402" s="699"/>
    </row>
    <row r="403" spans="1:6" s="690" customFormat="1">
      <c r="A403" s="737"/>
      <c r="B403" s="699"/>
      <c r="C403" s="694"/>
      <c r="D403" s="707"/>
      <c r="E403" s="704"/>
      <c r="F403" s="699"/>
    </row>
    <row r="404" spans="1:6" s="690" customFormat="1">
      <c r="A404" s="737"/>
      <c r="B404" s="699"/>
      <c r="C404" s="694"/>
      <c r="D404" s="707"/>
      <c r="E404" s="704"/>
      <c r="F404" s="699"/>
    </row>
    <row r="405" spans="1:6" s="690" customFormat="1">
      <c r="A405" s="737"/>
      <c r="B405" s="699"/>
      <c r="C405" s="694"/>
      <c r="D405" s="707"/>
      <c r="E405" s="704"/>
      <c r="F405" s="699"/>
    </row>
    <row r="406" spans="1:6" s="690" customFormat="1">
      <c r="A406" s="737"/>
      <c r="B406" s="699"/>
      <c r="C406" s="694"/>
      <c r="D406" s="707"/>
      <c r="E406" s="704"/>
      <c r="F406" s="699"/>
    </row>
    <row r="407" spans="1:6" s="690" customFormat="1">
      <c r="A407" s="737"/>
      <c r="B407" s="699"/>
      <c r="C407" s="694"/>
      <c r="D407" s="707"/>
      <c r="E407" s="704"/>
      <c r="F407" s="699"/>
    </row>
    <row r="408" spans="1:6" s="690" customFormat="1">
      <c r="A408" s="737"/>
      <c r="B408" s="699"/>
      <c r="C408" s="694"/>
      <c r="D408" s="707"/>
      <c r="E408" s="704"/>
      <c r="F408" s="699"/>
    </row>
    <row r="409" spans="1:6" s="690" customFormat="1">
      <c r="A409" s="737"/>
      <c r="B409" s="699"/>
      <c r="C409" s="694"/>
      <c r="D409" s="707"/>
      <c r="E409" s="704"/>
      <c r="F409" s="699"/>
    </row>
    <row r="410" spans="1:6" s="690" customFormat="1">
      <c r="A410" s="737"/>
      <c r="B410" s="699"/>
      <c r="C410" s="694"/>
      <c r="D410" s="707"/>
      <c r="E410" s="704"/>
      <c r="F410" s="699"/>
    </row>
    <row r="411" spans="1:6" s="690" customFormat="1">
      <c r="A411" s="737"/>
      <c r="B411" s="699"/>
      <c r="C411" s="694"/>
      <c r="D411" s="707"/>
      <c r="E411" s="704"/>
      <c r="F411" s="699"/>
    </row>
    <row r="412" spans="1:6" s="690" customFormat="1">
      <c r="A412" s="737"/>
      <c r="B412" s="699"/>
      <c r="C412" s="694"/>
      <c r="D412" s="707"/>
      <c r="E412" s="704"/>
      <c r="F412" s="699"/>
    </row>
    <row r="413" spans="1:6" s="690" customFormat="1">
      <c r="A413" s="737"/>
      <c r="B413" s="699"/>
      <c r="C413" s="694"/>
      <c r="D413" s="707"/>
      <c r="E413" s="704"/>
      <c r="F413" s="699"/>
    </row>
    <row r="414" spans="1:6" s="690" customFormat="1">
      <c r="A414" s="737"/>
      <c r="B414" s="699"/>
      <c r="C414" s="694"/>
      <c r="D414" s="707"/>
      <c r="E414" s="704"/>
      <c r="F414" s="699"/>
    </row>
    <row r="415" spans="1:6" s="690" customFormat="1">
      <c r="A415" s="737"/>
      <c r="B415" s="699"/>
      <c r="C415" s="694"/>
      <c r="D415" s="707"/>
      <c r="E415" s="704"/>
      <c r="F415" s="699"/>
    </row>
    <row r="416" spans="1:6" s="690" customFormat="1">
      <c r="A416" s="737"/>
      <c r="B416" s="699"/>
      <c r="C416" s="694"/>
      <c r="D416" s="707"/>
      <c r="E416" s="704"/>
      <c r="F416" s="699"/>
    </row>
    <row r="417" spans="1:6" s="690" customFormat="1">
      <c r="A417" s="737"/>
      <c r="B417" s="699"/>
      <c r="C417" s="694"/>
      <c r="D417" s="707"/>
      <c r="E417" s="704"/>
      <c r="F417" s="699"/>
    </row>
    <row r="418" spans="1:6" s="690" customFormat="1">
      <c r="A418" s="737"/>
      <c r="B418" s="699"/>
      <c r="C418" s="694"/>
      <c r="D418" s="707"/>
      <c r="E418" s="704"/>
      <c r="F418" s="699"/>
    </row>
    <row r="419" spans="1:6" s="690" customFormat="1">
      <c r="A419" s="737"/>
      <c r="B419" s="699"/>
      <c r="C419" s="694"/>
      <c r="D419" s="707"/>
      <c r="E419" s="704"/>
      <c r="F419" s="699"/>
    </row>
    <row r="420" spans="1:6" s="690" customFormat="1">
      <c r="A420" s="737"/>
      <c r="B420" s="699"/>
      <c r="C420" s="694"/>
      <c r="D420" s="707"/>
      <c r="E420" s="704"/>
      <c r="F420" s="699"/>
    </row>
    <row r="421" spans="1:6" s="690" customFormat="1">
      <c r="A421" s="737"/>
      <c r="B421" s="699"/>
      <c r="C421" s="694"/>
      <c r="D421" s="707"/>
      <c r="E421" s="704"/>
      <c r="F421" s="699"/>
    </row>
    <row r="422" spans="1:6" s="690" customFormat="1">
      <c r="A422" s="737"/>
      <c r="B422" s="699"/>
      <c r="C422" s="694"/>
      <c r="D422" s="707"/>
      <c r="E422" s="704"/>
      <c r="F422" s="699"/>
    </row>
    <row r="423" spans="1:6" s="690" customFormat="1">
      <c r="A423" s="737"/>
      <c r="B423" s="699"/>
      <c r="C423" s="694"/>
      <c r="D423" s="707"/>
      <c r="E423" s="704"/>
      <c r="F423" s="699"/>
    </row>
    <row r="424" spans="1:6" s="690" customFormat="1">
      <c r="A424" s="737"/>
      <c r="B424" s="699"/>
      <c r="C424" s="694"/>
      <c r="D424" s="707"/>
      <c r="E424" s="704"/>
      <c r="F424" s="699"/>
    </row>
    <row r="425" spans="1:6" s="690" customFormat="1">
      <c r="A425" s="737"/>
      <c r="B425" s="699"/>
      <c r="C425" s="694"/>
      <c r="D425" s="707"/>
      <c r="E425" s="704"/>
      <c r="F425" s="699"/>
    </row>
    <row r="426" spans="1:6" s="690" customFormat="1">
      <c r="A426" s="737"/>
      <c r="B426" s="699"/>
      <c r="C426" s="694"/>
      <c r="D426" s="707"/>
      <c r="E426" s="704"/>
      <c r="F426" s="699"/>
    </row>
  </sheetData>
  <mergeCells count="14">
    <mergeCell ref="D70:E70"/>
    <mergeCell ref="A1:F1"/>
    <mergeCell ref="A2:F2"/>
    <mergeCell ref="A4:F4"/>
    <mergeCell ref="A5:B5"/>
    <mergeCell ref="C5:F5"/>
    <mergeCell ref="D75:E75"/>
    <mergeCell ref="D76:E76"/>
    <mergeCell ref="D77:E77"/>
    <mergeCell ref="D84:E84"/>
    <mergeCell ref="D71:E71"/>
    <mergeCell ref="D72:E72"/>
    <mergeCell ref="D73:E73"/>
    <mergeCell ref="D74:E74"/>
  </mergeCells>
  <pageMargins left="0.56999999999999995" right="0.32" top="0.59" bottom="0.38" header="0.3" footer="0.3"/>
  <pageSetup paperSize="9" scale="95" orientation="portrait" r:id="rId1"/>
  <headerFooter>
    <oddHeader>Page &amp;P</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320"/>
  <sheetViews>
    <sheetView tabSelected="1" view="pageBreakPreview" topLeftCell="A282" zoomScaleSheetLayoutView="100" workbookViewId="0">
      <selection activeCell="B288" sqref="B288"/>
    </sheetView>
  </sheetViews>
  <sheetFormatPr defaultRowHeight="15.75"/>
  <cols>
    <col min="1" max="1" width="6.33203125" style="946" customWidth="1"/>
    <col min="2" max="2" width="31.88671875" style="914" customWidth="1"/>
    <col min="3" max="3" width="4.33203125" style="955" customWidth="1"/>
    <col min="4" max="4" width="3.109375" style="914" customWidth="1"/>
    <col min="5" max="5" width="5.21875" style="955" customWidth="1"/>
    <col min="6" max="6" width="6.21875" style="914" customWidth="1"/>
    <col min="7" max="7" width="7.88671875" style="914" bestFit="1" customWidth="1"/>
    <col min="8" max="8" width="7.6640625" style="914" bestFit="1" customWidth="1"/>
    <col min="9" max="9" width="8.88671875" style="914" customWidth="1"/>
    <col min="10" max="256" width="8.88671875" style="914"/>
    <col min="257" max="257" width="6.33203125" style="914" customWidth="1"/>
    <col min="258" max="258" width="31.88671875" style="914" customWidth="1"/>
    <col min="259" max="259" width="2.77734375" style="914" customWidth="1"/>
    <col min="260" max="260" width="2.21875" style="914" customWidth="1"/>
    <col min="261" max="261" width="5.21875" style="914" customWidth="1"/>
    <col min="262" max="262" width="6.21875" style="914" customWidth="1"/>
    <col min="263" max="263" width="7.88671875" style="914" bestFit="1" customWidth="1"/>
    <col min="264" max="264" width="7.6640625" style="914" bestFit="1" customWidth="1"/>
    <col min="265" max="265" width="8.88671875" style="914" customWidth="1"/>
    <col min="266" max="512" width="8.88671875" style="914"/>
    <col min="513" max="513" width="6.33203125" style="914" customWidth="1"/>
    <col min="514" max="514" width="31.88671875" style="914" customWidth="1"/>
    <col min="515" max="515" width="2.77734375" style="914" customWidth="1"/>
    <col min="516" max="516" width="2.21875" style="914" customWidth="1"/>
    <col min="517" max="517" width="5.21875" style="914" customWidth="1"/>
    <col min="518" max="518" width="6.21875" style="914" customWidth="1"/>
    <col min="519" max="519" width="7.88671875" style="914" bestFit="1" customWidth="1"/>
    <col min="520" max="520" width="7.6640625" style="914" bestFit="1" customWidth="1"/>
    <col min="521" max="521" width="8.88671875" style="914" customWidth="1"/>
    <col min="522" max="768" width="8.88671875" style="914"/>
    <col min="769" max="769" width="6.33203125" style="914" customWidth="1"/>
    <col min="770" max="770" width="31.88671875" style="914" customWidth="1"/>
    <col min="771" max="771" width="2.77734375" style="914" customWidth="1"/>
    <col min="772" max="772" width="2.21875" style="914" customWidth="1"/>
    <col min="773" max="773" width="5.21875" style="914" customWidth="1"/>
    <col min="774" max="774" width="6.21875" style="914" customWidth="1"/>
    <col min="775" max="775" width="7.88671875" style="914" bestFit="1" customWidth="1"/>
    <col min="776" max="776" width="7.6640625" style="914" bestFit="1" customWidth="1"/>
    <col min="777" max="777" width="8.88671875" style="914" customWidth="1"/>
    <col min="778" max="1024" width="8.88671875" style="914"/>
    <col min="1025" max="1025" width="6.33203125" style="914" customWidth="1"/>
    <col min="1026" max="1026" width="31.88671875" style="914" customWidth="1"/>
    <col min="1027" max="1027" width="2.77734375" style="914" customWidth="1"/>
    <col min="1028" max="1028" width="2.21875" style="914" customWidth="1"/>
    <col min="1029" max="1029" width="5.21875" style="914" customWidth="1"/>
    <col min="1030" max="1030" width="6.21875" style="914" customWidth="1"/>
    <col min="1031" max="1031" width="7.88671875" style="914" bestFit="1" customWidth="1"/>
    <col min="1032" max="1032" width="7.6640625" style="914" bestFit="1" customWidth="1"/>
    <col min="1033" max="1033" width="8.88671875" style="914" customWidth="1"/>
    <col min="1034" max="1280" width="8.88671875" style="914"/>
    <col min="1281" max="1281" width="6.33203125" style="914" customWidth="1"/>
    <col min="1282" max="1282" width="31.88671875" style="914" customWidth="1"/>
    <col min="1283" max="1283" width="2.77734375" style="914" customWidth="1"/>
    <col min="1284" max="1284" width="2.21875" style="914" customWidth="1"/>
    <col min="1285" max="1285" width="5.21875" style="914" customWidth="1"/>
    <col min="1286" max="1286" width="6.21875" style="914" customWidth="1"/>
    <col min="1287" max="1287" width="7.88671875" style="914" bestFit="1" customWidth="1"/>
    <col min="1288" max="1288" width="7.6640625" style="914" bestFit="1" customWidth="1"/>
    <col min="1289" max="1289" width="8.88671875" style="914" customWidth="1"/>
    <col min="1290" max="1536" width="8.88671875" style="914"/>
    <col min="1537" max="1537" width="6.33203125" style="914" customWidth="1"/>
    <col min="1538" max="1538" width="31.88671875" style="914" customWidth="1"/>
    <col min="1539" max="1539" width="2.77734375" style="914" customWidth="1"/>
    <col min="1540" max="1540" width="2.21875" style="914" customWidth="1"/>
    <col min="1541" max="1541" width="5.21875" style="914" customWidth="1"/>
    <col min="1542" max="1542" width="6.21875" style="914" customWidth="1"/>
    <col min="1543" max="1543" width="7.88671875" style="914" bestFit="1" customWidth="1"/>
    <col min="1544" max="1544" width="7.6640625" style="914" bestFit="1" customWidth="1"/>
    <col min="1545" max="1545" width="8.88671875" style="914" customWidth="1"/>
    <col min="1546" max="1792" width="8.88671875" style="914"/>
    <col min="1793" max="1793" width="6.33203125" style="914" customWidth="1"/>
    <col min="1794" max="1794" width="31.88671875" style="914" customWidth="1"/>
    <col min="1795" max="1795" width="2.77734375" style="914" customWidth="1"/>
    <col min="1796" max="1796" width="2.21875" style="914" customWidth="1"/>
    <col min="1797" max="1797" width="5.21875" style="914" customWidth="1"/>
    <col min="1798" max="1798" width="6.21875" style="914" customWidth="1"/>
    <col min="1799" max="1799" width="7.88671875" style="914" bestFit="1" customWidth="1"/>
    <col min="1800" max="1800" width="7.6640625" style="914" bestFit="1" customWidth="1"/>
    <col min="1801" max="1801" width="8.88671875" style="914" customWidth="1"/>
    <col min="1802" max="2048" width="8.88671875" style="914"/>
    <col min="2049" max="2049" width="6.33203125" style="914" customWidth="1"/>
    <col min="2050" max="2050" width="31.88671875" style="914" customWidth="1"/>
    <col min="2051" max="2051" width="2.77734375" style="914" customWidth="1"/>
    <col min="2052" max="2052" width="2.21875" style="914" customWidth="1"/>
    <col min="2053" max="2053" width="5.21875" style="914" customWidth="1"/>
    <col min="2054" max="2054" width="6.21875" style="914" customWidth="1"/>
    <col min="2055" max="2055" width="7.88671875" style="914" bestFit="1" customWidth="1"/>
    <col min="2056" max="2056" width="7.6640625" style="914" bestFit="1" customWidth="1"/>
    <col min="2057" max="2057" width="8.88671875" style="914" customWidth="1"/>
    <col min="2058" max="2304" width="8.88671875" style="914"/>
    <col min="2305" max="2305" width="6.33203125" style="914" customWidth="1"/>
    <col min="2306" max="2306" width="31.88671875" style="914" customWidth="1"/>
    <col min="2307" max="2307" width="2.77734375" style="914" customWidth="1"/>
    <col min="2308" max="2308" width="2.21875" style="914" customWidth="1"/>
    <col min="2309" max="2309" width="5.21875" style="914" customWidth="1"/>
    <col min="2310" max="2310" width="6.21875" style="914" customWidth="1"/>
    <col min="2311" max="2311" width="7.88671875" style="914" bestFit="1" customWidth="1"/>
    <col min="2312" max="2312" width="7.6640625" style="914" bestFit="1" customWidth="1"/>
    <col min="2313" max="2313" width="8.88671875" style="914" customWidth="1"/>
    <col min="2314" max="2560" width="8.88671875" style="914"/>
    <col min="2561" max="2561" width="6.33203125" style="914" customWidth="1"/>
    <col min="2562" max="2562" width="31.88671875" style="914" customWidth="1"/>
    <col min="2563" max="2563" width="2.77734375" style="914" customWidth="1"/>
    <col min="2564" max="2564" width="2.21875" style="914" customWidth="1"/>
    <col min="2565" max="2565" width="5.21875" style="914" customWidth="1"/>
    <col min="2566" max="2566" width="6.21875" style="914" customWidth="1"/>
    <col min="2567" max="2567" width="7.88671875" style="914" bestFit="1" customWidth="1"/>
    <col min="2568" max="2568" width="7.6640625" style="914" bestFit="1" customWidth="1"/>
    <col min="2569" max="2569" width="8.88671875" style="914" customWidth="1"/>
    <col min="2570" max="2816" width="8.88671875" style="914"/>
    <col min="2817" max="2817" width="6.33203125" style="914" customWidth="1"/>
    <col min="2818" max="2818" width="31.88671875" style="914" customWidth="1"/>
    <col min="2819" max="2819" width="2.77734375" style="914" customWidth="1"/>
    <col min="2820" max="2820" width="2.21875" style="914" customWidth="1"/>
    <col min="2821" max="2821" width="5.21875" style="914" customWidth="1"/>
    <col min="2822" max="2822" width="6.21875" style="914" customWidth="1"/>
    <col min="2823" max="2823" width="7.88671875" style="914" bestFit="1" customWidth="1"/>
    <col min="2824" max="2824" width="7.6640625" style="914" bestFit="1" customWidth="1"/>
    <col min="2825" max="2825" width="8.88671875" style="914" customWidth="1"/>
    <col min="2826" max="3072" width="8.88671875" style="914"/>
    <col min="3073" max="3073" width="6.33203125" style="914" customWidth="1"/>
    <col min="3074" max="3074" width="31.88671875" style="914" customWidth="1"/>
    <col min="3075" max="3075" width="2.77734375" style="914" customWidth="1"/>
    <col min="3076" max="3076" width="2.21875" style="914" customWidth="1"/>
    <col min="3077" max="3077" width="5.21875" style="914" customWidth="1"/>
    <col min="3078" max="3078" width="6.21875" style="914" customWidth="1"/>
    <col min="3079" max="3079" width="7.88671875" style="914" bestFit="1" customWidth="1"/>
    <col min="3080" max="3080" width="7.6640625" style="914" bestFit="1" customWidth="1"/>
    <col min="3081" max="3081" width="8.88671875" style="914" customWidth="1"/>
    <col min="3082" max="3328" width="8.88671875" style="914"/>
    <col min="3329" max="3329" width="6.33203125" style="914" customWidth="1"/>
    <col min="3330" max="3330" width="31.88671875" style="914" customWidth="1"/>
    <col min="3331" max="3331" width="2.77734375" style="914" customWidth="1"/>
    <col min="3332" max="3332" width="2.21875" style="914" customWidth="1"/>
    <col min="3333" max="3333" width="5.21875" style="914" customWidth="1"/>
    <col min="3334" max="3334" width="6.21875" style="914" customWidth="1"/>
    <col min="3335" max="3335" width="7.88671875" style="914" bestFit="1" customWidth="1"/>
    <col min="3336" max="3336" width="7.6640625" style="914" bestFit="1" customWidth="1"/>
    <col min="3337" max="3337" width="8.88671875" style="914" customWidth="1"/>
    <col min="3338" max="3584" width="8.88671875" style="914"/>
    <col min="3585" max="3585" width="6.33203125" style="914" customWidth="1"/>
    <col min="3586" max="3586" width="31.88671875" style="914" customWidth="1"/>
    <col min="3587" max="3587" width="2.77734375" style="914" customWidth="1"/>
    <col min="3588" max="3588" width="2.21875" style="914" customWidth="1"/>
    <col min="3589" max="3589" width="5.21875" style="914" customWidth="1"/>
    <col min="3590" max="3590" width="6.21875" style="914" customWidth="1"/>
    <col min="3591" max="3591" width="7.88671875" style="914" bestFit="1" customWidth="1"/>
    <col min="3592" max="3592" width="7.6640625" style="914" bestFit="1" customWidth="1"/>
    <col min="3593" max="3593" width="8.88671875" style="914" customWidth="1"/>
    <col min="3594" max="3840" width="8.88671875" style="914"/>
    <col min="3841" max="3841" width="6.33203125" style="914" customWidth="1"/>
    <col min="3842" max="3842" width="31.88671875" style="914" customWidth="1"/>
    <col min="3843" max="3843" width="2.77734375" style="914" customWidth="1"/>
    <col min="3844" max="3844" width="2.21875" style="914" customWidth="1"/>
    <col min="3845" max="3845" width="5.21875" style="914" customWidth="1"/>
    <col min="3846" max="3846" width="6.21875" style="914" customWidth="1"/>
    <col min="3847" max="3847" width="7.88671875" style="914" bestFit="1" customWidth="1"/>
    <col min="3848" max="3848" width="7.6640625" style="914" bestFit="1" customWidth="1"/>
    <col min="3849" max="3849" width="8.88671875" style="914" customWidth="1"/>
    <col min="3850" max="4096" width="8.88671875" style="914"/>
    <col min="4097" max="4097" width="6.33203125" style="914" customWidth="1"/>
    <col min="4098" max="4098" width="31.88671875" style="914" customWidth="1"/>
    <col min="4099" max="4099" width="2.77734375" style="914" customWidth="1"/>
    <col min="4100" max="4100" width="2.21875" style="914" customWidth="1"/>
    <col min="4101" max="4101" width="5.21875" style="914" customWidth="1"/>
    <col min="4102" max="4102" width="6.21875" style="914" customWidth="1"/>
    <col min="4103" max="4103" width="7.88671875" style="914" bestFit="1" customWidth="1"/>
    <col min="4104" max="4104" width="7.6640625" style="914" bestFit="1" customWidth="1"/>
    <col min="4105" max="4105" width="8.88671875" style="914" customWidth="1"/>
    <col min="4106" max="4352" width="8.88671875" style="914"/>
    <col min="4353" max="4353" width="6.33203125" style="914" customWidth="1"/>
    <col min="4354" max="4354" width="31.88671875" style="914" customWidth="1"/>
    <col min="4355" max="4355" width="2.77734375" style="914" customWidth="1"/>
    <col min="4356" max="4356" width="2.21875" style="914" customWidth="1"/>
    <col min="4357" max="4357" width="5.21875" style="914" customWidth="1"/>
    <col min="4358" max="4358" width="6.21875" style="914" customWidth="1"/>
    <col min="4359" max="4359" width="7.88671875" style="914" bestFit="1" customWidth="1"/>
    <col min="4360" max="4360" width="7.6640625" style="914" bestFit="1" customWidth="1"/>
    <col min="4361" max="4361" width="8.88671875" style="914" customWidth="1"/>
    <col min="4362" max="4608" width="8.88671875" style="914"/>
    <col min="4609" max="4609" width="6.33203125" style="914" customWidth="1"/>
    <col min="4610" max="4610" width="31.88671875" style="914" customWidth="1"/>
    <col min="4611" max="4611" width="2.77734375" style="914" customWidth="1"/>
    <col min="4612" max="4612" width="2.21875" style="914" customWidth="1"/>
    <col min="4613" max="4613" width="5.21875" style="914" customWidth="1"/>
    <col min="4614" max="4614" width="6.21875" style="914" customWidth="1"/>
    <col min="4615" max="4615" width="7.88671875" style="914" bestFit="1" customWidth="1"/>
    <col min="4616" max="4616" width="7.6640625" style="914" bestFit="1" customWidth="1"/>
    <col min="4617" max="4617" width="8.88671875" style="914" customWidth="1"/>
    <col min="4618" max="4864" width="8.88671875" style="914"/>
    <col min="4865" max="4865" width="6.33203125" style="914" customWidth="1"/>
    <col min="4866" max="4866" width="31.88671875" style="914" customWidth="1"/>
    <col min="4867" max="4867" width="2.77734375" style="914" customWidth="1"/>
    <col min="4868" max="4868" width="2.21875" style="914" customWidth="1"/>
    <col min="4869" max="4869" width="5.21875" style="914" customWidth="1"/>
    <col min="4870" max="4870" width="6.21875" style="914" customWidth="1"/>
    <col min="4871" max="4871" width="7.88671875" style="914" bestFit="1" customWidth="1"/>
    <col min="4872" max="4872" width="7.6640625" style="914" bestFit="1" customWidth="1"/>
    <col min="4873" max="4873" width="8.88671875" style="914" customWidth="1"/>
    <col min="4874" max="5120" width="8.88671875" style="914"/>
    <col min="5121" max="5121" width="6.33203125" style="914" customWidth="1"/>
    <col min="5122" max="5122" width="31.88671875" style="914" customWidth="1"/>
    <col min="5123" max="5123" width="2.77734375" style="914" customWidth="1"/>
    <col min="5124" max="5124" width="2.21875" style="914" customWidth="1"/>
    <col min="5125" max="5125" width="5.21875" style="914" customWidth="1"/>
    <col min="5126" max="5126" width="6.21875" style="914" customWidth="1"/>
    <col min="5127" max="5127" width="7.88671875" style="914" bestFit="1" customWidth="1"/>
    <col min="5128" max="5128" width="7.6640625" style="914" bestFit="1" customWidth="1"/>
    <col min="5129" max="5129" width="8.88671875" style="914" customWidth="1"/>
    <col min="5130" max="5376" width="8.88671875" style="914"/>
    <col min="5377" max="5377" width="6.33203125" style="914" customWidth="1"/>
    <col min="5378" max="5378" width="31.88671875" style="914" customWidth="1"/>
    <col min="5379" max="5379" width="2.77734375" style="914" customWidth="1"/>
    <col min="5380" max="5380" width="2.21875" style="914" customWidth="1"/>
    <col min="5381" max="5381" width="5.21875" style="914" customWidth="1"/>
    <col min="5382" max="5382" width="6.21875" style="914" customWidth="1"/>
    <col min="5383" max="5383" width="7.88671875" style="914" bestFit="1" customWidth="1"/>
    <col min="5384" max="5384" width="7.6640625" style="914" bestFit="1" customWidth="1"/>
    <col min="5385" max="5385" width="8.88671875" style="914" customWidth="1"/>
    <col min="5386" max="5632" width="8.88671875" style="914"/>
    <col min="5633" max="5633" width="6.33203125" style="914" customWidth="1"/>
    <col min="5634" max="5634" width="31.88671875" style="914" customWidth="1"/>
    <col min="5635" max="5635" width="2.77734375" style="914" customWidth="1"/>
    <col min="5636" max="5636" width="2.21875" style="914" customWidth="1"/>
    <col min="5637" max="5637" width="5.21875" style="914" customWidth="1"/>
    <col min="5638" max="5638" width="6.21875" style="914" customWidth="1"/>
    <col min="5639" max="5639" width="7.88671875" style="914" bestFit="1" customWidth="1"/>
    <col min="5640" max="5640" width="7.6640625" style="914" bestFit="1" customWidth="1"/>
    <col min="5641" max="5641" width="8.88671875" style="914" customWidth="1"/>
    <col min="5642" max="5888" width="8.88671875" style="914"/>
    <col min="5889" max="5889" width="6.33203125" style="914" customWidth="1"/>
    <col min="5890" max="5890" width="31.88671875" style="914" customWidth="1"/>
    <col min="5891" max="5891" width="2.77734375" style="914" customWidth="1"/>
    <col min="5892" max="5892" width="2.21875" style="914" customWidth="1"/>
    <col min="5893" max="5893" width="5.21875" style="914" customWidth="1"/>
    <col min="5894" max="5894" width="6.21875" style="914" customWidth="1"/>
    <col min="5895" max="5895" width="7.88671875" style="914" bestFit="1" customWidth="1"/>
    <col min="5896" max="5896" width="7.6640625" style="914" bestFit="1" customWidth="1"/>
    <col min="5897" max="5897" width="8.88671875" style="914" customWidth="1"/>
    <col min="5898" max="6144" width="8.88671875" style="914"/>
    <col min="6145" max="6145" width="6.33203125" style="914" customWidth="1"/>
    <col min="6146" max="6146" width="31.88671875" style="914" customWidth="1"/>
    <col min="6147" max="6147" width="2.77734375" style="914" customWidth="1"/>
    <col min="6148" max="6148" width="2.21875" style="914" customWidth="1"/>
    <col min="6149" max="6149" width="5.21875" style="914" customWidth="1"/>
    <col min="6150" max="6150" width="6.21875" style="914" customWidth="1"/>
    <col min="6151" max="6151" width="7.88671875" style="914" bestFit="1" customWidth="1"/>
    <col min="6152" max="6152" width="7.6640625" style="914" bestFit="1" customWidth="1"/>
    <col min="6153" max="6153" width="8.88671875" style="914" customWidth="1"/>
    <col min="6154" max="6400" width="8.88671875" style="914"/>
    <col min="6401" max="6401" width="6.33203125" style="914" customWidth="1"/>
    <col min="6402" max="6402" width="31.88671875" style="914" customWidth="1"/>
    <col min="6403" max="6403" width="2.77734375" style="914" customWidth="1"/>
    <col min="6404" max="6404" width="2.21875" style="914" customWidth="1"/>
    <col min="6405" max="6405" width="5.21875" style="914" customWidth="1"/>
    <col min="6406" max="6406" width="6.21875" style="914" customWidth="1"/>
    <col min="6407" max="6407" width="7.88671875" style="914" bestFit="1" customWidth="1"/>
    <col min="6408" max="6408" width="7.6640625" style="914" bestFit="1" customWidth="1"/>
    <col min="6409" max="6409" width="8.88671875" style="914" customWidth="1"/>
    <col min="6410" max="6656" width="8.88671875" style="914"/>
    <col min="6657" max="6657" width="6.33203125" style="914" customWidth="1"/>
    <col min="6658" max="6658" width="31.88671875" style="914" customWidth="1"/>
    <col min="6659" max="6659" width="2.77734375" style="914" customWidth="1"/>
    <col min="6660" max="6660" width="2.21875" style="914" customWidth="1"/>
    <col min="6661" max="6661" width="5.21875" style="914" customWidth="1"/>
    <col min="6662" max="6662" width="6.21875" style="914" customWidth="1"/>
    <col min="6663" max="6663" width="7.88671875" style="914" bestFit="1" customWidth="1"/>
    <col min="6664" max="6664" width="7.6640625" style="914" bestFit="1" customWidth="1"/>
    <col min="6665" max="6665" width="8.88671875" style="914" customWidth="1"/>
    <col min="6666" max="6912" width="8.88671875" style="914"/>
    <col min="6913" max="6913" width="6.33203125" style="914" customWidth="1"/>
    <col min="6914" max="6914" width="31.88671875" style="914" customWidth="1"/>
    <col min="6915" max="6915" width="2.77734375" style="914" customWidth="1"/>
    <col min="6916" max="6916" width="2.21875" style="914" customWidth="1"/>
    <col min="6917" max="6917" width="5.21875" style="914" customWidth="1"/>
    <col min="6918" max="6918" width="6.21875" style="914" customWidth="1"/>
    <col min="6919" max="6919" width="7.88671875" style="914" bestFit="1" customWidth="1"/>
    <col min="6920" max="6920" width="7.6640625" style="914" bestFit="1" customWidth="1"/>
    <col min="6921" max="6921" width="8.88671875" style="914" customWidth="1"/>
    <col min="6922" max="7168" width="8.88671875" style="914"/>
    <col min="7169" max="7169" width="6.33203125" style="914" customWidth="1"/>
    <col min="7170" max="7170" width="31.88671875" style="914" customWidth="1"/>
    <col min="7171" max="7171" width="2.77734375" style="914" customWidth="1"/>
    <col min="7172" max="7172" width="2.21875" style="914" customWidth="1"/>
    <col min="7173" max="7173" width="5.21875" style="914" customWidth="1"/>
    <col min="7174" max="7174" width="6.21875" style="914" customWidth="1"/>
    <col min="7175" max="7175" width="7.88671875" style="914" bestFit="1" customWidth="1"/>
    <col min="7176" max="7176" width="7.6640625" style="914" bestFit="1" customWidth="1"/>
    <col min="7177" max="7177" width="8.88671875" style="914" customWidth="1"/>
    <col min="7178" max="7424" width="8.88671875" style="914"/>
    <col min="7425" max="7425" width="6.33203125" style="914" customWidth="1"/>
    <col min="7426" max="7426" width="31.88671875" style="914" customWidth="1"/>
    <col min="7427" max="7427" width="2.77734375" style="914" customWidth="1"/>
    <col min="7428" max="7428" width="2.21875" style="914" customWidth="1"/>
    <col min="7429" max="7429" width="5.21875" style="914" customWidth="1"/>
    <col min="7430" max="7430" width="6.21875" style="914" customWidth="1"/>
    <col min="7431" max="7431" width="7.88671875" style="914" bestFit="1" customWidth="1"/>
    <col min="7432" max="7432" width="7.6640625" style="914" bestFit="1" customWidth="1"/>
    <col min="7433" max="7433" width="8.88671875" style="914" customWidth="1"/>
    <col min="7434" max="7680" width="8.88671875" style="914"/>
    <col min="7681" max="7681" width="6.33203125" style="914" customWidth="1"/>
    <col min="7682" max="7682" width="31.88671875" style="914" customWidth="1"/>
    <col min="7683" max="7683" width="2.77734375" style="914" customWidth="1"/>
    <col min="7684" max="7684" width="2.21875" style="914" customWidth="1"/>
    <col min="7685" max="7685" width="5.21875" style="914" customWidth="1"/>
    <col min="7686" max="7686" width="6.21875" style="914" customWidth="1"/>
    <col min="7687" max="7687" width="7.88671875" style="914" bestFit="1" customWidth="1"/>
    <col min="7688" max="7688" width="7.6640625" style="914" bestFit="1" customWidth="1"/>
    <col min="7689" max="7689" width="8.88671875" style="914" customWidth="1"/>
    <col min="7690" max="7936" width="8.88671875" style="914"/>
    <col min="7937" max="7937" width="6.33203125" style="914" customWidth="1"/>
    <col min="7938" max="7938" width="31.88671875" style="914" customWidth="1"/>
    <col min="7939" max="7939" width="2.77734375" style="914" customWidth="1"/>
    <col min="7940" max="7940" width="2.21875" style="914" customWidth="1"/>
    <col min="7941" max="7941" width="5.21875" style="914" customWidth="1"/>
    <col min="7942" max="7942" width="6.21875" style="914" customWidth="1"/>
    <col min="7943" max="7943" width="7.88671875" style="914" bestFit="1" customWidth="1"/>
    <col min="7944" max="7944" width="7.6640625" style="914" bestFit="1" customWidth="1"/>
    <col min="7945" max="7945" width="8.88671875" style="914" customWidth="1"/>
    <col min="7946" max="8192" width="8.88671875" style="914"/>
    <col min="8193" max="8193" width="6.33203125" style="914" customWidth="1"/>
    <col min="8194" max="8194" width="31.88671875" style="914" customWidth="1"/>
    <col min="8195" max="8195" width="2.77734375" style="914" customWidth="1"/>
    <col min="8196" max="8196" width="2.21875" style="914" customWidth="1"/>
    <col min="8197" max="8197" width="5.21875" style="914" customWidth="1"/>
    <col min="8198" max="8198" width="6.21875" style="914" customWidth="1"/>
    <col min="8199" max="8199" width="7.88671875" style="914" bestFit="1" customWidth="1"/>
    <col min="8200" max="8200" width="7.6640625" style="914" bestFit="1" customWidth="1"/>
    <col min="8201" max="8201" width="8.88671875" style="914" customWidth="1"/>
    <col min="8202" max="8448" width="8.88671875" style="914"/>
    <col min="8449" max="8449" width="6.33203125" style="914" customWidth="1"/>
    <col min="8450" max="8450" width="31.88671875" style="914" customWidth="1"/>
    <col min="8451" max="8451" width="2.77734375" style="914" customWidth="1"/>
    <col min="8452" max="8452" width="2.21875" style="914" customWidth="1"/>
    <col min="8453" max="8453" width="5.21875" style="914" customWidth="1"/>
    <col min="8454" max="8454" width="6.21875" style="914" customWidth="1"/>
    <col min="8455" max="8455" width="7.88671875" style="914" bestFit="1" customWidth="1"/>
    <col min="8456" max="8456" width="7.6640625" style="914" bestFit="1" customWidth="1"/>
    <col min="8457" max="8457" width="8.88671875" style="914" customWidth="1"/>
    <col min="8458" max="8704" width="8.88671875" style="914"/>
    <col min="8705" max="8705" width="6.33203125" style="914" customWidth="1"/>
    <col min="8706" max="8706" width="31.88671875" style="914" customWidth="1"/>
    <col min="8707" max="8707" width="2.77734375" style="914" customWidth="1"/>
    <col min="8708" max="8708" width="2.21875" style="914" customWidth="1"/>
    <col min="8709" max="8709" width="5.21875" style="914" customWidth="1"/>
    <col min="8710" max="8710" width="6.21875" style="914" customWidth="1"/>
    <col min="8711" max="8711" width="7.88671875" style="914" bestFit="1" customWidth="1"/>
    <col min="8712" max="8712" width="7.6640625" style="914" bestFit="1" customWidth="1"/>
    <col min="8713" max="8713" width="8.88671875" style="914" customWidth="1"/>
    <col min="8714" max="8960" width="8.88671875" style="914"/>
    <col min="8961" max="8961" width="6.33203125" style="914" customWidth="1"/>
    <col min="8962" max="8962" width="31.88671875" style="914" customWidth="1"/>
    <col min="8963" max="8963" width="2.77734375" style="914" customWidth="1"/>
    <col min="8964" max="8964" width="2.21875" style="914" customWidth="1"/>
    <col min="8965" max="8965" width="5.21875" style="914" customWidth="1"/>
    <col min="8966" max="8966" width="6.21875" style="914" customWidth="1"/>
    <col min="8967" max="8967" width="7.88671875" style="914" bestFit="1" customWidth="1"/>
    <col min="8968" max="8968" width="7.6640625" style="914" bestFit="1" customWidth="1"/>
    <col min="8969" max="8969" width="8.88671875" style="914" customWidth="1"/>
    <col min="8970" max="9216" width="8.88671875" style="914"/>
    <col min="9217" max="9217" width="6.33203125" style="914" customWidth="1"/>
    <col min="9218" max="9218" width="31.88671875" style="914" customWidth="1"/>
    <col min="9219" max="9219" width="2.77734375" style="914" customWidth="1"/>
    <col min="9220" max="9220" width="2.21875" style="914" customWidth="1"/>
    <col min="9221" max="9221" width="5.21875" style="914" customWidth="1"/>
    <col min="9222" max="9222" width="6.21875" style="914" customWidth="1"/>
    <col min="9223" max="9223" width="7.88671875" style="914" bestFit="1" customWidth="1"/>
    <col min="9224" max="9224" width="7.6640625" style="914" bestFit="1" customWidth="1"/>
    <col min="9225" max="9225" width="8.88671875" style="914" customWidth="1"/>
    <col min="9226" max="9472" width="8.88671875" style="914"/>
    <col min="9473" max="9473" width="6.33203125" style="914" customWidth="1"/>
    <col min="9474" max="9474" width="31.88671875" style="914" customWidth="1"/>
    <col min="9475" max="9475" width="2.77734375" style="914" customWidth="1"/>
    <col min="9476" max="9476" width="2.21875" style="914" customWidth="1"/>
    <col min="9477" max="9477" width="5.21875" style="914" customWidth="1"/>
    <col min="9478" max="9478" width="6.21875" style="914" customWidth="1"/>
    <col min="9479" max="9479" width="7.88671875" style="914" bestFit="1" customWidth="1"/>
    <col min="9480" max="9480" width="7.6640625" style="914" bestFit="1" customWidth="1"/>
    <col min="9481" max="9481" width="8.88671875" style="914" customWidth="1"/>
    <col min="9482" max="9728" width="8.88671875" style="914"/>
    <col min="9729" max="9729" width="6.33203125" style="914" customWidth="1"/>
    <col min="9730" max="9730" width="31.88671875" style="914" customWidth="1"/>
    <col min="9731" max="9731" width="2.77734375" style="914" customWidth="1"/>
    <col min="9732" max="9732" width="2.21875" style="914" customWidth="1"/>
    <col min="9733" max="9733" width="5.21875" style="914" customWidth="1"/>
    <col min="9734" max="9734" width="6.21875" style="914" customWidth="1"/>
    <col min="9735" max="9735" width="7.88671875" style="914" bestFit="1" customWidth="1"/>
    <col min="9736" max="9736" width="7.6640625" style="914" bestFit="1" customWidth="1"/>
    <col min="9737" max="9737" width="8.88671875" style="914" customWidth="1"/>
    <col min="9738" max="9984" width="8.88671875" style="914"/>
    <col min="9985" max="9985" width="6.33203125" style="914" customWidth="1"/>
    <col min="9986" max="9986" width="31.88671875" style="914" customWidth="1"/>
    <col min="9987" max="9987" width="2.77734375" style="914" customWidth="1"/>
    <col min="9988" max="9988" width="2.21875" style="914" customWidth="1"/>
    <col min="9989" max="9989" width="5.21875" style="914" customWidth="1"/>
    <col min="9990" max="9990" width="6.21875" style="914" customWidth="1"/>
    <col min="9991" max="9991" width="7.88671875" style="914" bestFit="1" customWidth="1"/>
    <col min="9992" max="9992" width="7.6640625" style="914" bestFit="1" customWidth="1"/>
    <col min="9993" max="9993" width="8.88671875" style="914" customWidth="1"/>
    <col min="9994" max="10240" width="8.88671875" style="914"/>
    <col min="10241" max="10241" width="6.33203125" style="914" customWidth="1"/>
    <col min="10242" max="10242" width="31.88671875" style="914" customWidth="1"/>
    <col min="10243" max="10243" width="2.77734375" style="914" customWidth="1"/>
    <col min="10244" max="10244" width="2.21875" style="914" customWidth="1"/>
    <col min="10245" max="10245" width="5.21875" style="914" customWidth="1"/>
    <col min="10246" max="10246" width="6.21875" style="914" customWidth="1"/>
    <col min="10247" max="10247" width="7.88671875" style="914" bestFit="1" customWidth="1"/>
    <col min="10248" max="10248" width="7.6640625" style="914" bestFit="1" customWidth="1"/>
    <col min="10249" max="10249" width="8.88671875" style="914" customWidth="1"/>
    <col min="10250" max="10496" width="8.88671875" style="914"/>
    <col min="10497" max="10497" width="6.33203125" style="914" customWidth="1"/>
    <col min="10498" max="10498" width="31.88671875" style="914" customWidth="1"/>
    <col min="10499" max="10499" width="2.77734375" style="914" customWidth="1"/>
    <col min="10500" max="10500" width="2.21875" style="914" customWidth="1"/>
    <col min="10501" max="10501" width="5.21875" style="914" customWidth="1"/>
    <col min="10502" max="10502" width="6.21875" style="914" customWidth="1"/>
    <col min="10503" max="10503" width="7.88671875" style="914" bestFit="1" customWidth="1"/>
    <col min="10504" max="10504" width="7.6640625" style="914" bestFit="1" customWidth="1"/>
    <col min="10505" max="10505" width="8.88671875" style="914" customWidth="1"/>
    <col min="10506" max="10752" width="8.88671875" style="914"/>
    <col min="10753" max="10753" width="6.33203125" style="914" customWidth="1"/>
    <col min="10754" max="10754" width="31.88671875" style="914" customWidth="1"/>
    <col min="10755" max="10755" width="2.77734375" style="914" customWidth="1"/>
    <col min="10756" max="10756" width="2.21875" style="914" customWidth="1"/>
    <col min="10757" max="10757" width="5.21875" style="914" customWidth="1"/>
    <col min="10758" max="10758" width="6.21875" style="914" customWidth="1"/>
    <col min="10759" max="10759" width="7.88671875" style="914" bestFit="1" customWidth="1"/>
    <col min="10760" max="10760" width="7.6640625" style="914" bestFit="1" customWidth="1"/>
    <col min="10761" max="10761" width="8.88671875" style="914" customWidth="1"/>
    <col min="10762" max="11008" width="8.88671875" style="914"/>
    <col min="11009" max="11009" width="6.33203125" style="914" customWidth="1"/>
    <col min="11010" max="11010" width="31.88671875" style="914" customWidth="1"/>
    <col min="11011" max="11011" width="2.77734375" style="914" customWidth="1"/>
    <col min="11012" max="11012" width="2.21875" style="914" customWidth="1"/>
    <col min="11013" max="11013" width="5.21875" style="914" customWidth="1"/>
    <col min="11014" max="11014" width="6.21875" style="914" customWidth="1"/>
    <col min="11015" max="11015" width="7.88671875" style="914" bestFit="1" customWidth="1"/>
    <col min="11016" max="11016" width="7.6640625" style="914" bestFit="1" customWidth="1"/>
    <col min="11017" max="11017" width="8.88671875" style="914" customWidth="1"/>
    <col min="11018" max="11264" width="8.88671875" style="914"/>
    <col min="11265" max="11265" width="6.33203125" style="914" customWidth="1"/>
    <col min="11266" max="11266" width="31.88671875" style="914" customWidth="1"/>
    <col min="11267" max="11267" width="2.77734375" style="914" customWidth="1"/>
    <col min="11268" max="11268" width="2.21875" style="914" customWidth="1"/>
    <col min="11269" max="11269" width="5.21875" style="914" customWidth="1"/>
    <col min="11270" max="11270" width="6.21875" style="914" customWidth="1"/>
    <col min="11271" max="11271" width="7.88671875" style="914" bestFit="1" customWidth="1"/>
    <col min="11272" max="11272" width="7.6640625" style="914" bestFit="1" customWidth="1"/>
    <col min="11273" max="11273" width="8.88671875" style="914" customWidth="1"/>
    <col min="11274" max="11520" width="8.88671875" style="914"/>
    <col min="11521" max="11521" width="6.33203125" style="914" customWidth="1"/>
    <col min="11522" max="11522" width="31.88671875" style="914" customWidth="1"/>
    <col min="11523" max="11523" width="2.77734375" style="914" customWidth="1"/>
    <col min="11524" max="11524" width="2.21875" style="914" customWidth="1"/>
    <col min="11525" max="11525" width="5.21875" style="914" customWidth="1"/>
    <col min="11526" max="11526" width="6.21875" style="914" customWidth="1"/>
    <col min="11527" max="11527" width="7.88671875" style="914" bestFit="1" customWidth="1"/>
    <col min="11528" max="11528" width="7.6640625" style="914" bestFit="1" customWidth="1"/>
    <col min="11529" max="11529" width="8.88671875" style="914" customWidth="1"/>
    <col min="11530" max="11776" width="8.88671875" style="914"/>
    <col min="11777" max="11777" width="6.33203125" style="914" customWidth="1"/>
    <col min="11778" max="11778" width="31.88671875" style="914" customWidth="1"/>
    <col min="11779" max="11779" width="2.77734375" style="914" customWidth="1"/>
    <col min="11780" max="11780" width="2.21875" style="914" customWidth="1"/>
    <col min="11781" max="11781" width="5.21875" style="914" customWidth="1"/>
    <col min="11782" max="11782" width="6.21875" style="914" customWidth="1"/>
    <col min="11783" max="11783" width="7.88671875" style="914" bestFit="1" customWidth="1"/>
    <col min="11784" max="11784" width="7.6640625" style="914" bestFit="1" customWidth="1"/>
    <col min="11785" max="11785" width="8.88671875" style="914" customWidth="1"/>
    <col min="11786" max="12032" width="8.88671875" style="914"/>
    <col min="12033" max="12033" width="6.33203125" style="914" customWidth="1"/>
    <col min="12034" max="12034" width="31.88671875" style="914" customWidth="1"/>
    <col min="12035" max="12035" width="2.77734375" style="914" customWidth="1"/>
    <col min="12036" max="12036" width="2.21875" style="914" customWidth="1"/>
    <col min="12037" max="12037" width="5.21875" style="914" customWidth="1"/>
    <col min="12038" max="12038" width="6.21875" style="914" customWidth="1"/>
    <col min="12039" max="12039" width="7.88671875" style="914" bestFit="1" customWidth="1"/>
    <col min="12040" max="12040" width="7.6640625" style="914" bestFit="1" customWidth="1"/>
    <col min="12041" max="12041" width="8.88671875" style="914" customWidth="1"/>
    <col min="12042" max="12288" width="8.88671875" style="914"/>
    <col min="12289" max="12289" width="6.33203125" style="914" customWidth="1"/>
    <col min="12290" max="12290" width="31.88671875" style="914" customWidth="1"/>
    <col min="12291" max="12291" width="2.77734375" style="914" customWidth="1"/>
    <col min="12292" max="12292" width="2.21875" style="914" customWidth="1"/>
    <col min="12293" max="12293" width="5.21875" style="914" customWidth="1"/>
    <col min="12294" max="12294" width="6.21875" style="914" customWidth="1"/>
    <col min="12295" max="12295" width="7.88671875" style="914" bestFit="1" customWidth="1"/>
    <col min="12296" max="12296" width="7.6640625" style="914" bestFit="1" customWidth="1"/>
    <col min="12297" max="12297" width="8.88671875" style="914" customWidth="1"/>
    <col min="12298" max="12544" width="8.88671875" style="914"/>
    <col min="12545" max="12545" width="6.33203125" style="914" customWidth="1"/>
    <col min="12546" max="12546" width="31.88671875" style="914" customWidth="1"/>
    <col min="12547" max="12547" width="2.77734375" style="914" customWidth="1"/>
    <col min="12548" max="12548" width="2.21875" style="914" customWidth="1"/>
    <col min="12549" max="12549" width="5.21875" style="914" customWidth="1"/>
    <col min="12550" max="12550" width="6.21875" style="914" customWidth="1"/>
    <col min="12551" max="12551" width="7.88671875" style="914" bestFit="1" customWidth="1"/>
    <col min="12552" max="12552" width="7.6640625" style="914" bestFit="1" customWidth="1"/>
    <col min="12553" max="12553" width="8.88671875" style="914" customWidth="1"/>
    <col min="12554" max="12800" width="8.88671875" style="914"/>
    <col min="12801" max="12801" width="6.33203125" style="914" customWidth="1"/>
    <col min="12802" max="12802" width="31.88671875" style="914" customWidth="1"/>
    <col min="12803" max="12803" width="2.77734375" style="914" customWidth="1"/>
    <col min="12804" max="12804" width="2.21875" style="914" customWidth="1"/>
    <col min="12805" max="12805" width="5.21875" style="914" customWidth="1"/>
    <col min="12806" max="12806" width="6.21875" style="914" customWidth="1"/>
    <col min="12807" max="12807" width="7.88671875" style="914" bestFit="1" customWidth="1"/>
    <col min="12808" max="12808" width="7.6640625" style="914" bestFit="1" customWidth="1"/>
    <col min="12809" max="12809" width="8.88671875" style="914" customWidth="1"/>
    <col min="12810" max="13056" width="8.88671875" style="914"/>
    <col min="13057" max="13057" width="6.33203125" style="914" customWidth="1"/>
    <col min="13058" max="13058" width="31.88671875" style="914" customWidth="1"/>
    <col min="13059" max="13059" width="2.77734375" style="914" customWidth="1"/>
    <col min="13060" max="13060" width="2.21875" style="914" customWidth="1"/>
    <col min="13061" max="13061" width="5.21875" style="914" customWidth="1"/>
    <col min="13062" max="13062" width="6.21875" style="914" customWidth="1"/>
    <col min="13063" max="13063" width="7.88671875" style="914" bestFit="1" customWidth="1"/>
    <col min="13064" max="13064" width="7.6640625" style="914" bestFit="1" customWidth="1"/>
    <col min="13065" max="13065" width="8.88671875" style="914" customWidth="1"/>
    <col min="13066" max="13312" width="8.88671875" style="914"/>
    <col min="13313" max="13313" width="6.33203125" style="914" customWidth="1"/>
    <col min="13314" max="13314" width="31.88671875" style="914" customWidth="1"/>
    <col min="13315" max="13315" width="2.77734375" style="914" customWidth="1"/>
    <col min="13316" max="13316" width="2.21875" style="914" customWidth="1"/>
    <col min="13317" max="13317" width="5.21875" style="914" customWidth="1"/>
    <col min="13318" max="13318" width="6.21875" style="914" customWidth="1"/>
    <col min="13319" max="13319" width="7.88671875" style="914" bestFit="1" customWidth="1"/>
    <col min="13320" max="13320" width="7.6640625" style="914" bestFit="1" customWidth="1"/>
    <col min="13321" max="13321" width="8.88671875" style="914" customWidth="1"/>
    <col min="13322" max="13568" width="8.88671875" style="914"/>
    <col min="13569" max="13569" width="6.33203125" style="914" customWidth="1"/>
    <col min="13570" max="13570" width="31.88671875" style="914" customWidth="1"/>
    <col min="13571" max="13571" width="2.77734375" style="914" customWidth="1"/>
    <col min="13572" max="13572" width="2.21875" style="914" customWidth="1"/>
    <col min="13573" max="13573" width="5.21875" style="914" customWidth="1"/>
    <col min="13574" max="13574" width="6.21875" style="914" customWidth="1"/>
    <col min="13575" max="13575" width="7.88671875" style="914" bestFit="1" customWidth="1"/>
    <col min="13576" max="13576" width="7.6640625" style="914" bestFit="1" customWidth="1"/>
    <col min="13577" max="13577" width="8.88671875" style="914" customWidth="1"/>
    <col min="13578" max="13824" width="8.88671875" style="914"/>
    <col min="13825" max="13825" width="6.33203125" style="914" customWidth="1"/>
    <col min="13826" max="13826" width="31.88671875" style="914" customWidth="1"/>
    <col min="13827" max="13827" width="2.77734375" style="914" customWidth="1"/>
    <col min="13828" max="13828" width="2.21875" style="914" customWidth="1"/>
    <col min="13829" max="13829" width="5.21875" style="914" customWidth="1"/>
    <col min="13830" max="13830" width="6.21875" style="914" customWidth="1"/>
    <col min="13831" max="13831" width="7.88671875" style="914" bestFit="1" customWidth="1"/>
    <col min="13832" max="13832" width="7.6640625" style="914" bestFit="1" customWidth="1"/>
    <col min="13833" max="13833" width="8.88671875" style="914" customWidth="1"/>
    <col min="13834" max="14080" width="8.88671875" style="914"/>
    <col min="14081" max="14081" width="6.33203125" style="914" customWidth="1"/>
    <col min="14082" max="14082" width="31.88671875" style="914" customWidth="1"/>
    <col min="14083" max="14083" width="2.77734375" style="914" customWidth="1"/>
    <col min="14084" max="14084" width="2.21875" style="914" customWidth="1"/>
    <col min="14085" max="14085" width="5.21875" style="914" customWidth="1"/>
    <col min="14086" max="14086" width="6.21875" style="914" customWidth="1"/>
    <col min="14087" max="14087" width="7.88671875" style="914" bestFit="1" customWidth="1"/>
    <col min="14088" max="14088" width="7.6640625" style="914" bestFit="1" customWidth="1"/>
    <col min="14089" max="14089" width="8.88671875" style="914" customWidth="1"/>
    <col min="14090" max="14336" width="8.88671875" style="914"/>
    <col min="14337" max="14337" width="6.33203125" style="914" customWidth="1"/>
    <col min="14338" max="14338" width="31.88671875" style="914" customWidth="1"/>
    <col min="14339" max="14339" width="2.77734375" style="914" customWidth="1"/>
    <col min="14340" max="14340" width="2.21875" style="914" customWidth="1"/>
    <col min="14341" max="14341" width="5.21875" style="914" customWidth="1"/>
    <col min="14342" max="14342" width="6.21875" style="914" customWidth="1"/>
    <col min="14343" max="14343" width="7.88671875" style="914" bestFit="1" customWidth="1"/>
    <col min="14344" max="14344" width="7.6640625" style="914" bestFit="1" customWidth="1"/>
    <col min="14345" max="14345" width="8.88671875" style="914" customWidth="1"/>
    <col min="14346" max="14592" width="8.88671875" style="914"/>
    <col min="14593" max="14593" width="6.33203125" style="914" customWidth="1"/>
    <col min="14594" max="14594" width="31.88671875" style="914" customWidth="1"/>
    <col min="14595" max="14595" width="2.77734375" style="914" customWidth="1"/>
    <col min="14596" max="14596" width="2.21875" style="914" customWidth="1"/>
    <col min="14597" max="14597" width="5.21875" style="914" customWidth="1"/>
    <col min="14598" max="14598" width="6.21875" style="914" customWidth="1"/>
    <col min="14599" max="14599" width="7.88671875" style="914" bestFit="1" customWidth="1"/>
    <col min="14600" max="14600" width="7.6640625" style="914" bestFit="1" customWidth="1"/>
    <col min="14601" max="14601" width="8.88671875" style="914" customWidth="1"/>
    <col min="14602" max="14848" width="8.88671875" style="914"/>
    <col min="14849" max="14849" width="6.33203125" style="914" customWidth="1"/>
    <col min="14850" max="14850" width="31.88671875" style="914" customWidth="1"/>
    <col min="14851" max="14851" width="2.77734375" style="914" customWidth="1"/>
    <col min="14852" max="14852" width="2.21875" style="914" customWidth="1"/>
    <col min="14853" max="14853" width="5.21875" style="914" customWidth="1"/>
    <col min="14854" max="14854" width="6.21875" style="914" customWidth="1"/>
    <col min="14855" max="14855" width="7.88671875" style="914" bestFit="1" customWidth="1"/>
    <col min="14856" max="14856" width="7.6640625" style="914" bestFit="1" customWidth="1"/>
    <col min="14857" max="14857" width="8.88671875" style="914" customWidth="1"/>
    <col min="14858" max="15104" width="8.88671875" style="914"/>
    <col min="15105" max="15105" width="6.33203125" style="914" customWidth="1"/>
    <col min="15106" max="15106" width="31.88671875" style="914" customWidth="1"/>
    <col min="15107" max="15107" width="2.77734375" style="914" customWidth="1"/>
    <col min="15108" max="15108" width="2.21875" style="914" customWidth="1"/>
    <col min="15109" max="15109" width="5.21875" style="914" customWidth="1"/>
    <col min="15110" max="15110" width="6.21875" style="914" customWidth="1"/>
    <col min="15111" max="15111" width="7.88671875" style="914" bestFit="1" customWidth="1"/>
    <col min="15112" max="15112" width="7.6640625" style="914" bestFit="1" customWidth="1"/>
    <col min="15113" max="15113" width="8.88671875" style="914" customWidth="1"/>
    <col min="15114" max="15360" width="8.88671875" style="914"/>
    <col min="15361" max="15361" width="6.33203125" style="914" customWidth="1"/>
    <col min="15362" max="15362" width="31.88671875" style="914" customWidth="1"/>
    <col min="15363" max="15363" width="2.77734375" style="914" customWidth="1"/>
    <col min="15364" max="15364" width="2.21875" style="914" customWidth="1"/>
    <col min="15365" max="15365" width="5.21875" style="914" customWidth="1"/>
    <col min="15366" max="15366" width="6.21875" style="914" customWidth="1"/>
    <col min="15367" max="15367" width="7.88671875" style="914" bestFit="1" customWidth="1"/>
    <col min="15368" max="15368" width="7.6640625" style="914" bestFit="1" customWidth="1"/>
    <col min="15369" max="15369" width="8.88671875" style="914" customWidth="1"/>
    <col min="15370" max="15616" width="8.88671875" style="914"/>
    <col min="15617" max="15617" width="6.33203125" style="914" customWidth="1"/>
    <col min="15618" max="15618" width="31.88671875" style="914" customWidth="1"/>
    <col min="15619" max="15619" width="2.77734375" style="914" customWidth="1"/>
    <col min="15620" max="15620" width="2.21875" style="914" customWidth="1"/>
    <col min="15621" max="15621" width="5.21875" style="914" customWidth="1"/>
    <col min="15622" max="15622" width="6.21875" style="914" customWidth="1"/>
    <col min="15623" max="15623" width="7.88671875" style="914" bestFit="1" customWidth="1"/>
    <col min="15624" max="15624" width="7.6640625" style="914" bestFit="1" customWidth="1"/>
    <col min="15625" max="15625" width="8.88671875" style="914" customWidth="1"/>
    <col min="15626" max="15872" width="8.88671875" style="914"/>
    <col min="15873" max="15873" width="6.33203125" style="914" customWidth="1"/>
    <col min="15874" max="15874" width="31.88671875" style="914" customWidth="1"/>
    <col min="15875" max="15875" width="2.77734375" style="914" customWidth="1"/>
    <col min="15876" max="15876" width="2.21875" style="914" customWidth="1"/>
    <col min="15877" max="15877" width="5.21875" style="914" customWidth="1"/>
    <col min="15878" max="15878" width="6.21875" style="914" customWidth="1"/>
    <col min="15879" max="15879" width="7.88671875" style="914" bestFit="1" customWidth="1"/>
    <col min="15880" max="15880" width="7.6640625" style="914" bestFit="1" customWidth="1"/>
    <col min="15881" max="15881" width="8.88671875" style="914" customWidth="1"/>
    <col min="15882" max="16128" width="8.88671875" style="914"/>
    <col min="16129" max="16129" width="6.33203125" style="914" customWidth="1"/>
    <col min="16130" max="16130" width="31.88671875" style="914" customWidth="1"/>
    <col min="16131" max="16131" width="2.77734375" style="914" customWidth="1"/>
    <col min="16132" max="16132" width="2.21875" style="914" customWidth="1"/>
    <col min="16133" max="16133" width="5.21875" style="914" customWidth="1"/>
    <col min="16134" max="16134" width="6.21875" style="914" customWidth="1"/>
    <col min="16135" max="16135" width="7.88671875" style="914" bestFit="1" customWidth="1"/>
    <col min="16136" max="16136" width="7.6640625" style="914" bestFit="1" customWidth="1"/>
    <col min="16137" max="16137" width="8.88671875" style="914" customWidth="1"/>
    <col min="16138" max="16384" width="8.88671875" style="914"/>
  </cols>
  <sheetData>
    <row r="1" spans="1:20" ht="21.75" customHeight="1">
      <c r="A1" s="1029" t="s">
        <v>6367</v>
      </c>
      <c r="B1" s="1029"/>
      <c r="C1" s="1029"/>
      <c r="D1" s="1029"/>
      <c r="E1" s="1029"/>
      <c r="F1" s="1029"/>
      <c r="G1" s="1029"/>
      <c r="H1" s="1029"/>
      <c r="I1" s="1029"/>
    </row>
    <row r="2" spans="1:20" ht="19.5" customHeight="1">
      <c r="A2" s="1029" t="s">
        <v>6455</v>
      </c>
      <c r="B2" s="1029"/>
      <c r="C2" s="1029"/>
      <c r="D2" s="1029"/>
      <c r="E2" s="1029"/>
      <c r="F2" s="1029"/>
      <c r="G2" s="1029"/>
      <c r="H2" s="1029"/>
      <c r="I2" s="1029"/>
    </row>
    <row r="3" spans="1:20" ht="28.5" customHeight="1">
      <c r="A3" s="1030"/>
      <c r="B3" s="1030"/>
      <c r="C3" s="1030"/>
      <c r="D3" s="1030"/>
      <c r="E3" s="1030"/>
      <c r="F3" s="1030"/>
      <c r="G3" s="1030"/>
      <c r="H3" s="1030"/>
      <c r="I3" s="1030"/>
    </row>
    <row r="4" spans="1:20" ht="33" customHeight="1">
      <c r="A4" s="1031" t="s">
        <v>6481</v>
      </c>
      <c r="B4" s="1031"/>
      <c r="C4" s="1031"/>
      <c r="D4" s="1031"/>
      <c r="E4" s="1031"/>
      <c r="F4" s="1031"/>
      <c r="G4" s="1031"/>
      <c r="H4" s="1031"/>
      <c r="I4" s="1031"/>
    </row>
    <row r="5" spans="1:20" s="915" customFormat="1" ht="18.75">
      <c r="A5" s="1032" t="s">
        <v>6316</v>
      </c>
      <c r="B5" s="1032"/>
      <c r="C5" s="1032"/>
      <c r="D5" s="1032"/>
      <c r="E5" s="1032"/>
      <c r="F5" s="1032"/>
      <c r="G5" s="1032"/>
      <c r="H5" s="1032"/>
      <c r="I5" s="1032"/>
      <c r="K5" s="916"/>
    </row>
    <row r="6" spans="1:20" s="915" customFormat="1" ht="12" customHeight="1">
      <c r="A6" s="917"/>
      <c r="B6" s="918"/>
      <c r="C6" s="937"/>
      <c r="D6" s="918"/>
      <c r="E6" s="937"/>
      <c r="F6" s="918"/>
      <c r="G6" s="918"/>
      <c r="H6" s="918"/>
      <c r="I6" s="918"/>
      <c r="K6" s="916"/>
    </row>
    <row r="7" spans="1:20" s="915" customFormat="1">
      <c r="A7" s="917" t="s">
        <v>6380</v>
      </c>
      <c r="B7" s="919" t="s">
        <v>1777</v>
      </c>
      <c r="C7" s="1033"/>
      <c r="D7" s="1033"/>
      <c r="E7" s="1033"/>
      <c r="F7" s="919" t="s">
        <v>6381</v>
      </c>
      <c r="G7" s="919" t="s">
        <v>1555</v>
      </c>
      <c r="H7" s="919" t="s">
        <v>6382</v>
      </c>
      <c r="I7" s="919" t="s">
        <v>6317</v>
      </c>
    </row>
    <row r="8" spans="1:20" s="915" customFormat="1" ht="22.5" hidden="1" customHeight="1">
      <c r="A8" s="1023" t="s">
        <v>6456</v>
      </c>
      <c r="B8" s="1035" t="s">
        <v>6457</v>
      </c>
      <c r="C8" s="1021"/>
      <c r="D8" s="1021"/>
      <c r="E8" s="1021"/>
      <c r="F8" s="1021"/>
      <c r="G8" s="1021"/>
      <c r="H8" s="1021"/>
      <c r="I8" s="1021"/>
      <c r="K8" s="933"/>
      <c r="L8" s="934"/>
      <c r="M8" s="934"/>
      <c r="N8" s="934"/>
      <c r="O8" s="934"/>
      <c r="P8" s="934"/>
      <c r="Q8" s="934"/>
      <c r="R8" s="934"/>
      <c r="S8" s="934"/>
      <c r="T8" s="935"/>
    </row>
    <row r="9" spans="1:20" s="915" customFormat="1" hidden="1">
      <c r="A9" s="1023"/>
      <c r="B9" s="1036" t="s">
        <v>6458</v>
      </c>
      <c r="C9" s="1036"/>
      <c r="D9" s="1036"/>
      <c r="E9" s="1036"/>
      <c r="F9" s="1036"/>
      <c r="G9" s="1036"/>
      <c r="H9" s="1036"/>
      <c r="I9" s="1036"/>
    </row>
    <row r="10" spans="1:20" s="915" customFormat="1" hidden="1">
      <c r="A10" s="1023"/>
      <c r="B10" s="920" t="s">
        <v>6459</v>
      </c>
      <c r="C10" s="937">
        <v>1</v>
      </c>
      <c r="D10" s="918" t="s">
        <v>6383</v>
      </c>
      <c r="E10" s="937">
        <v>3</v>
      </c>
      <c r="F10" s="921">
        <v>2.98</v>
      </c>
      <c r="G10" s="921">
        <v>2.98</v>
      </c>
      <c r="H10" s="921">
        <v>1</v>
      </c>
      <c r="I10" s="921">
        <f>ROUND(PRODUCT(C10:H10),2)</f>
        <v>26.64</v>
      </c>
    </row>
    <row r="11" spans="1:20" s="915" customFormat="1" hidden="1">
      <c r="A11" s="1023"/>
      <c r="B11" s="920" t="s">
        <v>6460</v>
      </c>
      <c r="C11" s="937"/>
      <c r="D11" s="918"/>
      <c r="E11" s="937"/>
      <c r="F11" s="932"/>
      <c r="G11" s="932"/>
      <c r="H11" s="924"/>
      <c r="I11" s="921">
        <v>0.12</v>
      </c>
      <c r="K11" s="930"/>
    </row>
    <row r="12" spans="1:20" s="915" customFormat="1" hidden="1">
      <c r="A12" s="1023"/>
      <c r="B12" s="920"/>
      <c r="C12" s="937"/>
      <c r="D12" s="918"/>
      <c r="E12" s="1018" t="s">
        <v>2245</v>
      </c>
      <c r="F12" s="1018"/>
      <c r="G12" s="1018"/>
      <c r="H12" s="924">
        <f>SUM(I10:I11)</f>
        <v>26.76</v>
      </c>
      <c r="I12" s="925" t="s">
        <v>6384</v>
      </c>
      <c r="K12" s="930"/>
    </row>
    <row r="13" spans="1:20" s="915" customFormat="1" ht="75" hidden="1" customHeight="1">
      <c r="A13" s="1028">
        <v>2</v>
      </c>
      <c r="B13" s="1021" t="s">
        <v>6441</v>
      </c>
      <c r="C13" s="1021"/>
      <c r="D13" s="1021"/>
      <c r="E13" s="1021"/>
      <c r="F13" s="1021"/>
      <c r="G13" s="1021"/>
      <c r="H13" s="1021"/>
      <c r="I13" s="1021"/>
    </row>
    <row r="14" spans="1:20" s="915" customFormat="1" ht="16.5" hidden="1" customHeight="1">
      <c r="A14" s="1028"/>
      <c r="B14" s="920" t="s">
        <v>6461</v>
      </c>
      <c r="C14" s="937">
        <v>0</v>
      </c>
      <c r="D14" s="918" t="s">
        <v>6383</v>
      </c>
      <c r="E14" s="937">
        <v>1</v>
      </c>
      <c r="F14" s="921">
        <v>7.73</v>
      </c>
      <c r="G14" s="921">
        <v>8.77</v>
      </c>
      <c r="H14" s="921">
        <v>0.08</v>
      </c>
      <c r="I14" s="921">
        <f t="shared" ref="I14:I19" si="0">ROUND(PRODUCT(C14:H14),2)</f>
        <v>0</v>
      </c>
    </row>
    <row r="15" spans="1:20" s="915" customFormat="1" ht="16.5" hidden="1" customHeight="1">
      <c r="A15" s="1028"/>
      <c r="B15" s="920" t="s">
        <v>6462</v>
      </c>
      <c r="C15" s="937">
        <v>0</v>
      </c>
      <c r="D15" s="918" t="s">
        <v>6383</v>
      </c>
      <c r="E15" s="937">
        <v>1</v>
      </c>
      <c r="F15" s="921">
        <v>15.5</v>
      </c>
      <c r="G15" s="921">
        <v>13.5</v>
      </c>
      <c r="H15" s="921">
        <v>0.08</v>
      </c>
      <c r="I15" s="921">
        <f t="shared" si="0"/>
        <v>0</v>
      </c>
    </row>
    <row r="16" spans="1:20" s="915" customFormat="1" ht="16.5" hidden="1" customHeight="1">
      <c r="A16" s="1028"/>
      <c r="B16" s="920" t="s">
        <v>6412</v>
      </c>
      <c r="C16" s="937">
        <v>0</v>
      </c>
      <c r="D16" s="918" t="s">
        <v>6383</v>
      </c>
      <c r="E16" s="937">
        <v>1</v>
      </c>
      <c r="F16" s="921">
        <v>6.5</v>
      </c>
      <c r="G16" s="921">
        <v>2</v>
      </c>
      <c r="H16" s="921">
        <v>0.08</v>
      </c>
      <c r="I16" s="921">
        <f t="shared" si="0"/>
        <v>0</v>
      </c>
    </row>
    <row r="17" spans="1:10" s="915" customFormat="1" ht="16.5" hidden="1" customHeight="1">
      <c r="A17" s="1028"/>
      <c r="B17" s="920" t="s">
        <v>6463</v>
      </c>
      <c r="C17" s="937">
        <v>0</v>
      </c>
      <c r="D17" s="918" t="s">
        <v>6383</v>
      </c>
      <c r="E17" s="937">
        <v>2</v>
      </c>
      <c r="F17" s="921">
        <f>F14+G14</f>
        <v>16.5</v>
      </c>
      <c r="G17" s="921">
        <v>0.23</v>
      </c>
      <c r="H17" s="921">
        <v>0.08</v>
      </c>
      <c r="I17" s="921">
        <f t="shared" si="0"/>
        <v>0</v>
      </c>
    </row>
    <row r="18" spans="1:10" s="915" customFormat="1" ht="16.5" hidden="1" customHeight="1">
      <c r="A18" s="1028"/>
      <c r="B18" s="920" t="s">
        <v>6464</v>
      </c>
      <c r="C18" s="937">
        <v>0</v>
      </c>
      <c r="D18" s="918" t="s">
        <v>6383</v>
      </c>
      <c r="E18" s="937">
        <v>2</v>
      </c>
      <c r="F18" s="921">
        <f>F15+G15</f>
        <v>29</v>
      </c>
      <c r="G18" s="921">
        <v>0.23</v>
      </c>
      <c r="H18" s="921">
        <v>0.08</v>
      </c>
      <c r="I18" s="921">
        <f t="shared" si="0"/>
        <v>0</v>
      </c>
    </row>
    <row r="19" spans="1:10" s="915" customFormat="1" ht="16.5" hidden="1" customHeight="1">
      <c r="A19" s="1028"/>
      <c r="B19" s="920" t="s">
        <v>6465</v>
      </c>
      <c r="C19" s="937">
        <v>0</v>
      </c>
      <c r="D19" s="918" t="s">
        <v>6383</v>
      </c>
      <c r="E19" s="937">
        <v>2</v>
      </c>
      <c r="F19" s="921">
        <f>F16+G16</f>
        <v>8.5</v>
      </c>
      <c r="G19" s="921">
        <v>0.23</v>
      </c>
      <c r="H19" s="921">
        <v>0.08</v>
      </c>
      <c r="I19" s="921">
        <f t="shared" si="0"/>
        <v>0</v>
      </c>
    </row>
    <row r="20" spans="1:10" s="915" customFormat="1" ht="15" hidden="1" customHeight="1">
      <c r="A20" s="1028"/>
      <c r="B20" s="922" t="s">
        <v>6385</v>
      </c>
      <c r="C20" s="937"/>
      <c r="D20" s="918"/>
      <c r="E20" s="937"/>
      <c r="F20" s="921"/>
      <c r="G20" s="921"/>
      <c r="H20" s="921"/>
      <c r="I20" s="921"/>
    </row>
    <row r="21" spans="1:10" s="915" customFormat="1" ht="29.25" hidden="1" customHeight="1">
      <c r="A21" s="1028"/>
      <c r="B21" s="920"/>
      <c r="C21" s="950"/>
      <c r="D21" s="923"/>
      <c r="E21" s="1018" t="s">
        <v>2245</v>
      </c>
      <c r="F21" s="1018"/>
      <c r="G21" s="1018"/>
      <c r="H21" s="924">
        <f>ROUND(SUM(I14:I20),2)</f>
        <v>0</v>
      </c>
      <c r="I21" s="925" t="s">
        <v>2151</v>
      </c>
      <c r="J21" s="915">
        <v>5.5</v>
      </c>
    </row>
    <row r="22" spans="1:10" s="915" customFormat="1" ht="71.25" customHeight="1">
      <c r="A22" s="1028">
        <v>1</v>
      </c>
      <c r="B22" s="1020" t="s">
        <v>6466</v>
      </c>
      <c r="C22" s="1021"/>
      <c r="D22" s="1021"/>
      <c r="E22" s="1021"/>
      <c r="F22" s="1021"/>
      <c r="G22" s="1021"/>
      <c r="H22" s="1021"/>
      <c r="I22" s="1021"/>
    </row>
    <row r="23" spans="1:10" s="915" customFormat="1" ht="16.5" customHeight="1">
      <c r="A23" s="1028"/>
      <c r="B23" s="920" t="s">
        <v>6467</v>
      </c>
      <c r="C23" s="937">
        <v>2</v>
      </c>
      <c r="D23" s="918" t="s">
        <v>6383</v>
      </c>
      <c r="E23" s="937">
        <v>2</v>
      </c>
      <c r="F23" s="921">
        <v>7.5</v>
      </c>
      <c r="G23" s="921"/>
      <c r="H23" s="921"/>
      <c r="I23" s="921">
        <f>ROUND(PRODUCT(C23:H23),2)</f>
        <v>30</v>
      </c>
    </row>
    <row r="24" spans="1:10" s="915" customFormat="1" ht="16.5" customHeight="1">
      <c r="A24" s="1028"/>
      <c r="B24" s="920" t="s">
        <v>6499</v>
      </c>
      <c r="C24" s="937">
        <v>2</v>
      </c>
      <c r="D24" s="918" t="s">
        <v>6383</v>
      </c>
      <c r="E24" s="937">
        <v>2</v>
      </c>
      <c r="F24" s="921">
        <v>2</v>
      </c>
      <c r="G24" s="921"/>
      <c r="H24" s="921"/>
      <c r="I24" s="921">
        <f>ROUND(PRODUCT(C24:H24),2)</f>
        <v>8</v>
      </c>
    </row>
    <row r="25" spans="1:10" s="915" customFormat="1" ht="15" customHeight="1">
      <c r="A25" s="1028"/>
      <c r="B25" s="922" t="s">
        <v>6385</v>
      </c>
      <c r="C25" s="937"/>
      <c r="D25" s="918"/>
      <c r="E25" s="937"/>
      <c r="F25" s="921"/>
      <c r="G25" s="921"/>
      <c r="H25" s="921"/>
      <c r="I25" s="921"/>
    </row>
    <row r="26" spans="1:10" s="915" customFormat="1" ht="29.25" customHeight="1">
      <c r="A26" s="1028"/>
      <c r="B26" s="920"/>
      <c r="C26" s="950"/>
      <c r="D26" s="923"/>
      <c r="E26" s="1018" t="s">
        <v>2245</v>
      </c>
      <c r="F26" s="1018"/>
      <c r="G26" s="1018"/>
      <c r="H26" s="924">
        <f>ROUND(SUM(I23:I25),2)</f>
        <v>38</v>
      </c>
      <c r="I26" s="925" t="s">
        <v>826</v>
      </c>
      <c r="J26" s="915">
        <v>5.5</v>
      </c>
    </row>
    <row r="27" spans="1:10" s="926" customFormat="1" ht="42" customHeight="1">
      <c r="A27" s="1023">
        <f>A22+1</f>
        <v>2</v>
      </c>
      <c r="B27" s="1020" t="str">
        <f>'[6]Thandrampattu Abstruct'!C10</f>
        <v>Supplying, laying, fixing and jointing the following PVC pipes as per ASTM D - 1785 of schedule 40 of wall thickness not less than the specified in IS 4985 suitable for plumbing by threading of wall thickness including the cost of suitable PVC/GI specials</v>
      </c>
      <c r="C27" s="1021"/>
      <c r="D27" s="1021"/>
      <c r="E27" s="1021"/>
      <c r="F27" s="1021"/>
      <c r="G27" s="1021"/>
      <c r="H27" s="1021"/>
      <c r="I27" s="1021"/>
    </row>
    <row r="28" spans="1:10" s="926" customFormat="1" ht="27.75" customHeight="1">
      <c r="A28" s="1023"/>
      <c r="B28" s="1037" t="str">
        <f>'[6]Thandrampattu Abstruct'!C11</f>
        <v>a) 32mm ASTM D schedule 40 threaded PVC pipe with necessary PVC/GI specials</v>
      </c>
      <c r="C28" s="1037"/>
      <c r="D28" s="1037"/>
      <c r="E28" s="1037"/>
      <c r="F28" s="1037"/>
      <c r="G28" s="1037"/>
      <c r="H28" s="1037"/>
      <c r="I28" s="1037"/>
    </row>
    <row r="29" spans="1:10" s="926" customFormat="1" ht="15.75" customHeight="1">
      <c r="A29" s="1023"/>
      <c r="B29" s="920" t="s">
        <v>6389</v>
      </c>
      <c r="C29" s="951">
        <v>1</v>
      </c>
      <c r="D29" s="927" t="s">
        <v>6383</v>
      </c>
      <c r="E29" s="951">
        <v>1</v>
      </c>
      <c r="F29" s="928">
        <v>24</v>
      </c>
      <c r="G29" s="928"/>
      <c r="H29" s="928"/>
      <c r="I29" s="928">
        <f>ROUND(PRODUCT(C29:H29),2)</f>
        <v>24</v>
      </c>
    </row>
    <row r="30" spans="1:10" s="926" customFormat="1" ht="15.75" customHeight="1">
      <c r="A30" s="1023"/>
      <c r="B30" s="920"/>
      <c r="C30" s="950"/>
      <c r="D30" s="923"/>
      <c r="E30" s="1018" t="s">
        <v>2245</v>
      </c>
      <c r="F30" s="1018"/>
      <c r="G30" s="1018"/>
      <c r="H30" s="924">
        <f>SUM(I29:I29)</f>
        <v>24</v>
      </c>
      <c r="I30" s="925" t="s">
        <v>1771</v>
      </c>
      <c r="J30" s="926">
        <v>57</v>
      </c>
    </row>
    <row r="31" spans="1:10" s="926" customFormat="1" ht="27.75" customHeight="1">
      <c r="A31" s="1023"/>
      <c r="B31" s="1037" t="str">
        <f>'[6]Thandrampattu Abstruct'!C12</f>
        <v>b) 25mm ASTM D schedule 40 threaded PVC pipe with necessary PVC/GI specials</v>
      </c>
      <c r="C31" s="1037"/>
      <c r="D31" s="1037"/>
      <c r="E31" s="1037"/>
      <c r="F31" s="1037"/>
      <c r="G31" s="1037"/>
      <c r="H31" s="1037"/>
      <c r="I31" s="1037"/>
    </row>
    <row r="32" spans="1:10" s="926" customFormat="1" ht="15.75" customHeight="1">
      <c r="A32" s="1023"/>
      <c r="B32" s="920" t="s">
        <v>6468</v>
      </c>
      <c r="C32" s="951">
        <v>1</v>
      </c>
      <c r="D32" s="927" t="s">
        <v>6383</v>
      </c>
      <c r="E32" s="951">
        <v>2</v>
      </c>
      <c r="F32" s="928">
        <v>40</v>
      </c>
      <c r="G32" s="928"/>
      <c r="H32" s="928"/>
      <c r="I32" s="928">
        <f>ROUND(PRODUCT(C32:H32),2)</f>
        <v>80</v>
      </c>
    </row>
    <row r="33" spans="1:11" s="926" customFormat="1" ht="15.75" customHeight="1">
      <c r="A33" s="1023"/>
      <c r="B33" s="920"/>
      <c r="C33" s="950"/>
      <c r="D33" s="923"/>
      <c r="E33" s="1018" t="s">
        <v>2245</v>
      </c>
      <c r="F33" s="1018"/>
      <c r="G33" s="1018"/>
      <c r="H33" s="924">
        <f>SUM(I32:I32)</f>
        <v>80</v>
      </c>
      <c r="I33" s="925" t="s">
        <v>1771</v>
      </c>
      <c r="J33" s="926">
        <v>57</v>
      </c>
    </row>
    <row r="34" spans="1:11" s="926" customFormat="1" ht="27.75" customHeight="1">
      <c r="A34" s="1023"/>
      <c r="B34" s="1037" t="str">
        <f>'[6]Thandrampattu Abstruct'!C13</f>
        <v>c) 20mm ASTM D schedule 40 threaded PVC pipe with necessary PVC/GI specials</v>
      </c>
      <c r="C34" s="1037"/>
      <c r="D34" s="1037"/>
      <c r="E34" s="1037"/>
      <c r="F34" s="1037"/>
      <c r="G34" s="1037"/>
      <c r="H34" s="1037"/>
      <c r="I34" s="1037"/>
    </row>
    <row r="35" spans="1:11" s="926" customFormat="1" ht="15.75" customHeight="1">
      <c r="A35" s="1023"/>
      <c r="B35" s="920" t="s">
        <v>6392</v>
      </c>
      <c r="C35" s="951">
        <v>1</v>
      </c>
      <c r="D35" s="927" t="s">
        <v>6383</v>
      </c>
      <c r="E35" s="951">
        <v>1</v>
      </c>
      <c r="F35" s="928">
        <v>8</v>
      </c>
      <c r="G35" s="928"/>
      <c r="H35" s="928"/>
      <c r="I35" s="928">
        <f>ROUND(PRODUCT(C35:H35),2)</f>
        <v>8</v>
      </c>
    </row>
    <row r="36" spans="1:11" s="926" customFormat="1" ht="15.75" customHeight="1">
      <c r="A36" s="1023"/>
      <c r="B36" s="920"/>
      <c r="C36" s="950"/>
      <c r="D36" s="923"/>
      <c r="E36" s="1018" t="s">
        <v>2245</v>
      </c>
      <c r="F36" s="1018"/>
      <c r="G36" s="1018"/>
      <c r="H36" s="924">
        <f>SUM(I35:I35)</f>
        <v>8</v>
      </c>
      <c r="I36" s="925" t="s">
        <v>1771</v>
      </c>
      <c r="J36" s="926">
        <v>57</v>
      </c>
    </row>
    <row r="37" spans="1:11" s="926" customFormat="1" ht="27.75" customHeight="1">
      <c r="A37" s="1028">
        <f>A27+1</f>
        <v>3</v>
      </c>
      <c r="B37" s="1021" t="str">
        <f>'[6]Thandrampattu Abstruct'!C18</f>
        <v>Supplying and fixing of PVC doors of required overall size (single leaf) with PVC door frame and PVC shutter (superior variety). The doorframe of 60mm thick made out of superior quality polymeric material confirming to IS: 10151-1982. The doorframe is mad</v>
      </c>
      <c r="C37" s="1021"/>
      <c r="D37" s="1021"/>
      <c r="E37" s="1021"/>
      <c r="F37" s="1021"/>
      <c r="G37" s="1021"/>
      <c r="H37" s="1021"/>
      <c r="I37" s="1021"/>
    </row>
    <row r="38" spans="1:11" s="926" customFormat="1" ht="16.5" customHeight="1">
      <c r="A38" s="1028"/>
      <c r="B38" s="920" t="s">
        <v>6469</v>
      </c>
      <c r="C38" s="951">
        <v>1</v>
      </c>
      <c r="D38" s="927" t="s">
        <v>6383</v>
      </c>
      <c r="E38" s="951">
        <v>2</v>
      </c>
      <c r="F38" s="928">
        <v>0.75</v>
      </c>
      <c r="G38" s="928"/>
      <c r="H38" s="928">
        <v>2.1</v>
      </c>
      <c r="I38" s="928">
        <f>ROUND(PRODUCT(C38:H38),2)</f>
        <v>3.15</v>
      </c>
    </row>
    <row r="39" spans="1:11" s="926" customFormat="1" ht="15.75" customHeight="1">
      <c r="A39" s="1028"/>
      <c r="B39" s="920"/>
      <c r="C39" s="950"/>
      <c r="D39" s="923"/>
      <c r="E39" s="1018" t="s">
        <v>2245</v>
      </c>
      <c r="F39" s="1018"/>
      <c r="G39" s="1018"/>
      <c r="H39" s="924">
        <f>ROUND(SUM(I38:I38),2)</f>
        <v>3.15</v>
      </c>
      <c r="I39" s="925" t="s">
        <v>2283</v>
      </c>
    </row>
    <row r="40" spans="1:11" s="926" customFormat="1" ht="70.5" customHeight="1">
      <c r="A40" s="1019">
        <f>A37+1</f>
        <v>4</v>
      </c>
      <c r="B40" s="1021" t="str">
        <f>'[7]Thandrampattu Abstruct'!C15</f>
        <v>Supplying and fixing of VERTIFIEDTiles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v>
      </c>
      <c r="C40" s="1021"/>
      <c r="D40" s="1021"/>
      <c r="E40" s="1021"/>
      <c r="F40" s="1021"/>
      <c r="G40" s="1021"/>
      <c r="H40" s="1021"/>
      <c r="I40" s="1021"/>
      <c r="K40" s="929"/>
    </row>
    <row r="41" spans="1:11" s="926" customFormat="1" ht="16.5" customHeight="1">
      <c r="A41" s="1019"/>
      <c r="B41" s="920" t="s">
        <v>6387</v>
      </c>
      <c r="C41" s="951">
        <v>1</v>
      </c>
      <c r="D41" s="927" t="s">
        <v>6383</v>
      </c>
      <c r="E41" s="951">
        <v>1</v>
      </c>
      <c r="F41" s="928">
        <v>2.2000000000000002</v>
      </c>
      <c r="G41" s="928">
        <v>1</v>
      </c>
      <c r="H41" s="928"/>
      <c r="I41" s="928">
        <f>ROUND(PRODUCT(C41:H41),2)</f>
        <v>2.2000000000000002</v>
      </c>
    </row>
    <row r="42" spans="1:11" s="926" customFormat="1" ht="29.25" customHeight="1">
      <c r="A42" s="1019"/>
      <c r="B42" s="920"/>
      <c r="C42" s="950"/>
      <c r="D42" s="923"/>
      <c r="E42" s="1018" t="s">
        <v>2245</v>
      </c>
      <c r="F42" s="1018"/>
      <c r="G42" s="1018"/>
      <c r="H42" s="924">
        <f>ROUND(SUM(I41:I41),2)</f>
        <v>2.2000000000000002</v>
      </c>
      <c r="I42" s="925" t="s">
        <v>2283</v>
      </c>
      <c r="J42" s="926">
        <v>221</v>
      </c>
    </row>
    <row r="43" spans="1:11" s="915" customFormat="1" ht="54.75" customHeight="1">
      <c r="A43" s="1038">
        <f>A40+1</f>
        <v>5</v>
      </c>
      <c r="B43" s="1021" t="str">
        <f>'[6]Thandrampattu Abstruct'!C20</f>
        <v xml:space="preserve">Supplying and fixing of colour Ceramic Tiles Anti skid without corrugated design for flooring and other similar works (Best approved quality,  colour and shade shall be got approved from the Executive Engineer before using) over cement mortor 1:3 (One of </v>
      </c>
      <c r="C43" s="1021"/>
      <c r="D43" s="1021"/>
      <c r="E43" s="1021"/>
      <c r="F43" s="1021"/>
      <c r="G43" s="1021"/>
      <c r="H43" s="1021"/>
      <c r="I43" s="1021"/>
      <c r="K43" s="930"/>
    </row>
    <row r="44" spans="1:11" s="915" customFormat="1">
      <c r="A44" s="1019"/>
      <c r="B44" s="922" t="s">
        <v>6573</v>
      </c>
      <c r="C44" s="937">
        <v>1</v>
      </c>
      <c r="D44" s="918" t="s">
        <v>6383</v>
      </c>
      <c r="E44" s="937">
        <v>1</v>
      </c>
      <c r="F44" s="921">
        <v>1.55</v>
      </c>
      <c r="G44" s="921">
        <v>1.6</v>
      </c>
      <c r="H44" s="921"/>
      <c r="I44" s="921">
        <f>ROUND(PRODUCT(C44:H44),2)</f>
        <v>2.48</v>
      </c>
    </row>
    <row r="45" spans="1:11" s="915" customFormat="1">
      <c r="A45" s="1019"/>
      <c r="B45" s="922" t="s">
        <v>6500</v>
      </c>
      <c r="C45" s="937">
        <v>1</v>
      </c>
      <c r="D45" s="918" t="s">
        <v>6383</v>
      </c>
      <c r="E45" s="937">
        <v>1</v>
      </c>
      <c r="F45" s="921">
        <v>1.55</v>
      </c>
      <c r="G45" s="921">
        <v>1.6</v>
      </c>
      <c r="H45" s="921"/>
      <c r="I45" s="921">
        <f>ROUND(PRODUCT(C45:H45),2)</f>
        <v>2.48</v>
      </c>
    </row>
    <row r="46" spans="1:11" s="915" customFormat="1">
      <c r="A46" s="1019"/>
      <c r="B46" s="920" t="s">
        <v>6394</v>
      </c>
      <c r="C46" s="937"/>
      <c r="D46" s="918"/>
      <c r="E46" s="937"/>
      <c r="F46" s="921"/>
      <c r="G46" s="921"/>
      <c r="H46" s="921"/>
      <c r="I46" s="921">
        <v>0.06</v>
      </c>
      <c r="K46" s="930" t="s">
        <v>6470</v>
      </c>
    </row>
    <row r="47" spans="1:11" s="915" customFormat="1">
      <c r="A47" s="1019"/>
      <c r="B47" s="920"/>
      <c r="C47" s="950"/>
      <c r="D47" s="923"/>
      <c r="E47" s="1018" t="s">
        <v>2245</v>
      </c>
      <c r="F47" s="1018"/>
      <c r="G47" s="1018"/>
      <c r="H47" s="924">
        <f>SUM(I44:I46)</f>
        <v>5.0199999999999996</v>
      </c>
      <c r="I47" s="925" t="s">
        <v>2283</v>
      </c>
      <c r="K47" s="930"/>
    </row>
    <row r="48" spans="1:11" s="915" customFormat="1" ht="29.25" customHeight="1">
      <c r="A48" s="1025">
        <f>A43+1</f>
        <v>6</v>
      </c>
      <c r="B48" s="1021" t="str">
        <f>'[6]Thandrampattu Abstruct'!C21</f>
        <v>Supplying and fixing of Colour glazed tiles (Best approved quality and the same shall be got approved from the Executive Engineer before using) over cement plastering in CM 1:2 (One of cement and two of sand) 10mm thick including fixing in position, cutti</v>
      </c>
      <c r="C48" s="1021"/>
      <c r="D48" s="1021"/>
      <c r="E48" s="1021"/>
      <c r="F48" s="1021"/>
      <c r="G48" s="1021"/>
      <c r="H48" s="1021"/>
      <c r="I48" s="1021"/>
      <c r="K48" s="931"/>
    </row>
    <row r="49" spans="1:11" s="915" customFormat="1">
      <c r="A49" s="1026"/>
      <c r="B49" s="920" t="s">
        <v>6395</v>
      </c>
      <c r="C49" s="937">
        <v>1</v>
      </c>
      <c r="D49" s="918" t="s">
        <v>6383</v>
      </c>
      <c r="E49" s="937">
        <v>2</v>
      </c>
      <c r="F49" s="921">
        <v>6.1</v>
      </c>
      <c r="G49" s="921"/>
      <c r="H49" s="921">
        <v>1.8</v>
      </c>
      <c r="I49" s="921">
        <f>ROUND(PRODUCT(C49:H49),2)</f>
        <v>21.96</v>
      </c>
    </row>
    <row r="50" spans="1:11" s="915" customFormat="1">
      <c r="A50" s="1026"/>
      <c r="B50" s="920" t="s">
        <v>6471</v>
      </c>
      <c r="C50" s="937">
        <v>1</v>
      </c>
      <c r="D50" s="918" t="s">
        <v>6383</v>
      </c>
      <c r="E50" s="937">
        <v>2</v>
      </c>
      <c r="F50" s="921">
        <v>4.2</v>
      </c>
      <c r="G50" s="921"/>
      <c r="H50" s="921">
        <v>0.45</v>
      </c>
      <c r="I50" s="921">
        <f>ROUND(PRODUCT(C50:H50),2)</f>
        <v>3.78</v>
      </c>
    </row>
    <row r="51" spans="1:11" s="915" customFormat="1">
      <c r="A51" s="1026"/>
      <c r="B51" s="920" t="s">
        <v>6387</v>
      </c>
      <c r="C51" s="937">
        <v>1</v>
      </c>
      <c r="D51" s="918" t="s">
        <v>6383</v>
      </c>
      <c r="E51" s="937">
        <v>2</v>
      </c>
      <c r="F51" s="921">
        <v>5.4</v>
      </c>
      <c r="G51" s="921"/>
      <c r="H51" s="921">
        <v>1.5</v>
      </c>
      <c r="I51" s="921">
        <f>ROUND(PRODUCT(C51:H51),2)</f>
        <v>16.2</v>
      </c>
    </row>
    <row r="52" spans="1:11" s="915" customFormat="1">
      <c r="A52" s="1026"/>
      <c r="B52" s="922" t="s">
        <v>6385</v>
      </c>
      <c r="C52" s="937"/>
      <c r="D52" s="918"/>
      <c r="E52" s="937"/>
      <c r="F52" s="921"/>
      <c r="G52" s="921"/>
      <c r="H52" s="921"/>
      <c r="I52" s="921">
        <v>0.01</v>
      </c>
    </row>
    <row r="53" spans="1:11" s="915" customFormat="1" ht="22.5" customHeight="1">
      <c r="A53" s="1026"/>
      <c r="B53" s="920"/>
      <c r="C53" s="950"/>
      <c r="D53" s="923"/>
      <c r="E53" s="1018" t="s">
        <v>2245</v>
      </c>
      <c r="F53" s="1018"/>
      <c r="G53" s="1018"/>
      <c r="H53" s="924">
        <f>ROUND(SUM(I49:I52),2)</f>
        <v>41.95</v>
      </c>
      <c r="I53" s="925" t="s">
        <v>2283</v>
      </c>
    </row>
    <row r="54" spans="1:11" s="926" customFormat="1" ht="42" customHeight="1">
      <c r="A54" s="1024">
        <f>A48+1</f>
        <v>7</v>
      </c>
      <c r="B54" s="1020" t="str">
        <f>'[6]Thandrampattu Abstruct'!C22</f>
        <v>Plastering with cm 1:5 (One of cement and five of sand) 12mm thick finished with neat cement including providing band cornice, ceiling cornice, curing, scaffolding, etc., complete in all respects and complying with relevant standard specifications.</v>
      </c>
      <c r="C54" s="1021"/>
      <c r="D54" s="1021"/>
      <c r="E54" s="1021"/>
      <c r="F54" s="1021"/>
      <c r="G54" s="1021"/>
      <c r="H54" s="1021"/>
      <c r="I54" s="1021"/>
      <c r="K54" s="929"/>
    </row>
    <row r="55" spans="1:11" s="926" customFormat="1" ht="12.75">
      <c r="A55" s="1019"/>
      <c r="B55" s="920" t="s">
        <v>6501</v>
      </c>
      <c r="C55" s="951">
        <v>1</v>
      </c>
      <c r="D55" s="927" t="s">
        <v>6383</v>
      </c>
      <c r="E55" s="951">
        <v>1</v>
      </c>
      <c r="F55" s="928">
        <v>20</v>
      </c>
      <c r="G55" s="928"/>
      <c r="H55" s="928">
        <v>2.5</v>
      </c>
      <c r="I55" s="928">
        <f>ROUND(PRODUCT(C55:H55),2)</f>
        <v>50</v>
      </c>
    </row>
    <row r="56" spans="1:11" s="926" customFormat="1" ht="12.75">
      <c r="A56" s="1019"/>
      <c r="B56" s="920" t="s">
        <v>6502</v>
      </c>
      <c r="C56" s="951">
        <v>1</v>
      </c>
      <c r="D56" s="927" t="s">
        <v>6383</v>
      </c>
      <c r="E56" s="951">
        <v>1</v>
      </c>
      <c r="F56" s="928">
        <v>12.4</v>
      </c>
      <c r="G56" s="928"/>
      <c r="H56" s="928">
        <v>2.8</v>
      </c>
      <c r="I56" s="928">
        <f t="shared" ref="I56:I59" si="1">ROUND(PRODUCT(C56:H56),2)</f>
        <v>34.72</v>
      </c>
    </row>
    <row r="57" spans="1:11" s="926" customFormat="1" ht="12.75">
      <c r="A57" s="1019"/>
      <c r="B57" s="920" t="s">
        <v>6390</v>
      </c>
      <c r="C57" s="951">
        <v>1</v>
      </c>
      <c r="D57" s="927" t="s">
        <v>6383</v>
      </c>
      <c r="E57" s="951">
        <v>2</v>
      </c>
      <c r="F57" s="928">
        <v>6</v>
      </c>
      <c r="G57" s="928"/>
      <c r="H57" s="928">
        <v>4.8</v>
      </c>
      <c r="I57" s="928">
        <f t="shared" si="1"/>
        <v>57.6</v>
      </c>
    </row>
    <row r="58" spans="1:11" s="926" customFormat="1" ht="12.75">
      <c r="A58" s="1019"/>
      <c r="B58" s="920" t="s">
        <v>6503</v>
      </c>
      <c r="C58" s="951">
        <v>1</v>
      </c>
      <c r="D58" s="927" t="s">
        <v>6383</v>
      </c>
      <c r="E58" s="951">
        <v>2</v>
      </c>
      <c r="F58" s="928">
        <v>2.4</v>
      </c>
      <c r="G58" s="928"/>
      <c r="H58" s="928">
        <v>0.6</v>
      </c>
      <c r="I58" s="928">
        <f t="shared" si="1"/>
        <v>2.88</v>
      </c>
      <c r="K58" s="929"/>
    </row>
    <row r="59" spans="1:11" s="926" customFormat="1" ht="12.75">
      <c r="A59" s="1019"/>
      <c r="B59" s="920" t="s">
        <v>6504</v>
      </c>
      <c r="C59" s="951">
        <v>1</v>
      </c>
      <c r="D59" s="927" t="s">
        <v>6383</v>
      </c>
      <c r="E59" s="951">
        <v>1</v>
      </c>
      <c r="F59" s="928">
        <v>16.8</v>
      </c>
      <c r="G59" s="928"/>
      <c r="H59" s="928">
        <v>2</v>
      </c>
      <c r="I59" s="928">
        <f t="shared" si="1"/>
        <v>33.6</v>
      </c>
      <c r="K59" s="929"/>
    </row>
    <row r="60" spans="1:11" s="926" customFormat="1" ht="12.75">
      <c r="A60" s="1019"/>
      <c r="B60" s="920"/>
      <c r="C60" s="950"/>
      <c r="D60" s="923"/>
      <c r="E60" s="1018" t="s">
        <v>2245</v>
      </c>
      <c r="F60" s="1018"/>
      <c r="G60" s="1018"/>
      <c r="H60" s="924">
        <f>SUM(I55:I59)</f>
        <v>178.8</v>
      </c>
      <c r="I60" s="925" t="s">
        <v>2283</v>
      </c>
      <c r="J60" s="926">
        <v>37460</v>
      </c>
      <c r="K60" s="929"/>
    </row>
    <row r="61" spans="1:11" s="915" customFormat="1" ht="25.5" customHeight="1">
      <c r="A61" s="1027">
        <f>A54+1</f>
        <v>8</v>
      </c>
      <c r="B61" s="1021" t="s">
        <v>6472</v>
      </c>
      <c r="C61" s="1021"/>
      <c r="D61" s="1021"/>
      <c r="E61" s="1021"/>
      <c r="F61" s="1021"/>
      <c r="G61" s="1021"/>
      <c r="H61" s="1021"/>
      <c r="I61" s="1021"/>
    </row>
    <row r="62" spans="1:11" s="915" customFormat="1" ht="24.95" customHeight="1">
      <c r="A62" s="1027"/>
      <c r="B62" s="936" t="s">
        <v>6565</v>
      </c>
      <c r="C62" s="937">
        <v>1</v>
      </c>
      <c r="D62" s="936" t="s">
        <v>6383</v>
      </c>
      <c r="E62" s="937">
        <v>1</v>
      </c>
      <c r="F62" s="936">
        <v>15.1</v>
      </c>
      <c r="G62" s="936">
        <v>12.74</v>
      </c>
      <c r="H62" s="936"/>
      <c r="I62" s="928">
        <f t="shared" ref="I62:I70" si="2">ROUND(PRODUCT(C62:H62),2)</f>
        <v>192.37</v>
      </c>
    </row>
    <row r="63" spans="1:11" s="915" customFormat="1" ht="24.95" customHeight="1">
      <c r="A63" s="1027"/>
      <c r="B63" s="936" t="s">
        <v>6567</v>
      </c>
      <c r="C63" s="937">
        <v>1</v>
      </c>
      <c r="D63" s="936" t="s">
        <v>6391</v>
      </c>
      <c r="E63" s="937">
        <v>1</v>
      </c>
      <c r="F63" s="936">
        <v>55.68</v>
      </c>
      <c r="G63" s="936"/>
      <c r="H63" s="936">
        <v>0.23</v>
      </c>
      <c r="I63" s="928">
        <f t="shared" si="2"/>
        <v>12.81</v>
      </c>
    </row>
    <row r="64" spans="1:11" s="915" customFormat="1" ht="24.95" customHeight="1">
      <c r="A64" s="1027"/>
      <c r="B64" s="936" t="s">
        <v>6566</v>
      </c>
      <c r="C64" s="937">
        <v>1</v>
      </c>
      <c r="D64" s="936" t="s">
        <v>6383</v>
      </c>
      <c r="E64" s="937">
        <v>1</v>
      </c>
      <c r="F64" s="936">
        <v>5.95</v>
      </c>
      <c r="G64" s="936">
        <v>2</v>
      </c>
      <c r="H64" s="936"/>
      <c r="I64" s="928">
        <f t="shared" si="2"/>
        <v>11.9</v>
      </c>
    </row>
    <row r="65" spans="1:11" s="915" customFormat="1" ht="24.95" customHeight="1">
      <c r="A65" s="1027"/>
      <c r="B65" s="936" t="s">
        <v>6567</v>
      </c>
      <c r="C65" s="937">
        <v>1</v>
      </c>
      <c r="D65" s="936" t="s">
        <v>6383</v>
      </c>
      <c r="E65" s="937">
        <v>1</v>
      </c>
      <c r="F65" s="936">
        <f>(F64+H64)*2</f>
        <v>11.9</v>
      </c>
      <c r="G65" s="936"/>
      <c r="H65" s="936">
        <v>0.23</v>
      </c>
      <c r="I65" s="928">
        <f t="shared" si="2"/>
        <v>2.74</v>
      </c>
    </row>
    <row r="66" spans="1:11" s="915" customFormat="1" ht="24.95" customHeight="1">
      <c r="A66" s="1027"/>
      <c r="B66" s="936" t="s">
        <v>6568</v>
      </c>
      <c r="C66" s="937">
        <v>1</v>
      </c>
      <c r="D66" s="936" t="s">
        <v>6383</v>
      </c>
      <c r="E66" s="937">
        <v>1</v>
      </c>
      <c r="F66" s="936">
        <v>35.1</v>
      </c>
      <c r="G66" s="936">
        <v>0.6</v>
      </c>
      <c r="H66" s="936"/>
      <c r="I66" s="928">
        <f t="shared" si="2"/>
        <v>21.06</v>
      </c>
    </row>
    <row r="67" spans="1:11" s="915" customFormat="1" ht="24.95" customHeight="1">
      <c r="A67" s="1027"/>
      <c r="B67" s="936" t="s">
        <v>6567</v>
      </c>
      <c r="C67" s="937">
        <v>1</v>
      </c>
      <c r="D67" s="936" t="s">
        <v>6383</v>
      </c>
      <c r="E67" s="937">
        <v>1</v>
      </c>
      <c r="F67" s="936">
        <v>35.1</v>
      </c>
      <c r="G67" s="936"/>
      <c r="H67" s="936">
        <v>0.23</v>
      </c>
      <c r="I67" s="928">
        <f t="shared" si="2"/>
        <v>8.07</v>
      </c>
    </row>
    <row r="68" spans="1:11" s="915" customFormat="1" ht="24.95" customHeight="1">
      <c r="A68" s="1027"/>
      <c r="B68" s="936" t="s">
        <v>6567</v>
      </c>
      <c r="C68" s="937">
        <v>1</v>
      </c>
      <c r="D68" s="936" t="s">
        <v>6383</v>
      </c>
      <c r="E68" s="937">
        <v>1</v>
      </c>
      <c r="F68" s="936">
        <f>(5.95+0.46)*2</f>
        <v>12.82</v>
      </c>
      <c r="G68" s="936"/>
      <c r="H68" s="936">
        <v>0.23</v>
      </c>
      <c r="I68" s="928">
        <f t="shared" si="2"/>
        <v>2.95</v>
      </c>
    </row>
    <row r="69" spans="1:11" s="915" customFormat="1" ht="24.95" customHeight="1">
      <c r="A69" s="1027"/>
      <c r="B69" s="936" t="s">
        <v>6567</v>
      </c>
      <c r="C69" s="937">
        <v>1</v>
      </c>
      <c r="D69" s="936" t="s">
        <v>6383</v>
      </c>
      <c r="E69" s="937">
        <v>1</v>
      </c>
      <c r="F69" s="936">
        <f>(10.4+0.46)*2</f>
        <v>21.72</v>
      </c>
      <c r="G69" s="936"/>
      <c r="H69" s="936">
        <v>0.23</v>
      </c>
      <c r="I69" s="928">
        <f t="shared" si="2"/>
        <v>5</v>
      </c>
    </row>
    <row r="70" spans="1:11" s="915" customFormat="1" ht="24.95" customHeight="1">
      <c r="A70" s="1027"/>
      <c r="B70" s="936" t="s">
        <v>6569</v>
      </c>
      <c r="C70" s="937">
        <v>1</v>
      </c>
      <c r="D70" s="936" t="s">
        <v>6383</v>
      </c>
      <c r="E70" s="937">
        <v>7</v>
      </c>
      <c r="F70" s="936">
        <v>5.95</v>
      </c>
      <c r="G70" s="936"/>
      <c r="H70" s="936">
        <v>0.23</v>
      </c>
      <c r="I70" s="928">
        <f t="shared" si="2"/>
        <v>9.58</v>
      </c>
    </row>
    <row r="71" spans="1:11" s="915" customFormat="1" ht="24.95" customHeight="1">
      <c r="A71" s="1028"/>
      <c r="B71" s="920"/>
      <c r="C71" s="950"/>
      <c r="D71" s="923"/>
      <c r="E71" s="1018" t="s">
        <v>2245</v>
      </c>
      <c r="F71" s="1018"/>
      <c r="G71" s="1018"/>
      <c r="H71" s="924">
        <f>SUM(I62:I70)</f>
        <v>266.48</v>
      </c>
      <c r="I71" s="925"/>
    </row>
    <row r="72" spans="1:11" s="915" customFormat="1" ht="24.95" customHeight="1">
      <c r="A72" s="917"/>
      <c r="B72" s="920"/>
      <c r="C72" s="950"/>
      <c r="D72" s="923"/>
      <c r="E72" s="1018" t="s">
        <v>6571</v>
      </c>
      <c r="F72" s="1018"/>
      <c r="G72" s="1018"/>
      <c r="H72" s="924">
        <f>H71*40%</f>
        <v>106.59</v>
      </c>
      <c r="I72" s="925" t="s">
        <v>2283</v>
      </c>
    </row>
    <row r="73" spans="1:11" s="926" customFormat="1" ht="44.25" customHeight="1">
      <c r="A73" s="1024">
        <f>A61+1</f>
        <v>9</v>
      </c>
      <c r="B73" s="1021" t="str">
        <f>'[6]Thandrampattu Abstruct'!C25</f>
        <v>Finishing top of roof with one course of Hydraulic Pressed Tiles of approved superior quality of size 23cmx 23cmx20mm thick laid over weathering course in cm 1:3 (One of cement and three of sand) 12mm thick mixed with Water proofing compound at 2% by weig</v>
      </c>
      <c r="C73" s="1021"/>
      <c r="D73" s="1021"/>
      <c r="E73" s="1021"/>
      <c r="F73" s="1021"/>
      <c r="G73" s="1021"/>
      <c r="H73" s="1021"/>
      <c r="I73" s="1021"/>
      <c r="K73" s="929"/>
    </row>
    <row r="74" spans="1:11" s="926" customFormat="1" ht="24.95" customHeight="1">
      <c r="A74" s="1024"/>
      <c r="B74" s="936" t="s">
        <v>6565</v>
      </c>
      <c r="C74" s="937">
        <v>1</v>
      </c>
      <c r="D74" s="936" t="s">
        <v>6383</v>
      </c>
      <c r="E74" s="937">
        <v>1</v>
      </c>
      <c r="F74" s="936">
        <v>15.1</v>
      </c>
      <c r="G74" s="936">
        <v>12.74</v>
      </c>
      <c r="H74" s="936"/>
      <c r="I74" s="928">
        <f t="shared" ref="I74:I82" si="3">ROUND(PRODUCT(C74:H74),2)</f>
        <v>192.37</v>
      </c>
      <c r="K74" s="929"/>
    </row>
    <row r="75" spans="1:11" s="926" customFormat="1" ht="24.95" customHeight="1">
      <c r="A75" s="1024"/>
      <c r="B75" s="936" t="s">
        <v>6567</v>
      </c>
      <c r="C75" s="937">
        <v>1</v>
      </c>
      <c r="D75" s="936" t="s">
        <v>6391</v>
      </c>
      <c r="E75" s="937">
        <v>1</v>
      </c>
      <c r="F75" s="936">
        <v>55.68</v>
      </c>
      <c r="G75" s="936"/>
      <c r="H75" s="936">
        <v>0.23</v>
      </c>
      <c r="I75" s="928">
        <f t="shared" si="3"/>
        <v>12.81</v>
      </c>
      <c r="K75" s="929"/>
    </row>
    <row r="76" spans="1:11" s="926" customFormat="1" ht="24.95" customHeight="1">
      <c r="A76" s="1024"/>
      <c r="B76" s="936" t="s">
        <v>6566</v>
      </c>
      <c r="C76" s="937">
        <v>1</v>
      </c>
      <c r="D76" s="936" t="s">
        <v>6383</v>
      </c>
      <c r="E76" s="937">
        <v>1</v>
      </c>
      <c r="F76" s="936">
        <v>5.95</v>
      </c>
      <c r="G76" s="936">
        <v>2</v>
      </c>
      <c r="H76" s="936"/>
      <c r="I76" s="928">
        <f t="shared" si="3"/>
        <v>11.9</v>
      </c>
      <c r="K76" s="929"/>
    </row>
    <row r="77" spans="1:11" s="926" customFormat="1" ht="24.95" customHeight="1">
      <c r="A77" s="1024"/>
      <c r="B77" s="936" t="s">
        <v>6567</v>
      </c>
      <c r="C77" s="937">
        <v>1</v>
      </c>
      <c r="D77" s="936" t="s">
        <v>6383</v>
      </c>
      <c r="E77" s="937">
        <v>1</v>
      </c>
      <c r="F77" s="936">
        <f>(F76+H76)*2</f>
        <v>11.9</v>
      </c>
      <c r="G77" s="936"/>
      <c r="H77" s="936">
        <v>0.23</v>
      </c>
      <c r="I77" s="928">
        <f t="shared" si="3"/>
        <v>2.74</v>
      </c>
      <c r="K77" s="929"/>
    </row>
    <row r="78" spans="1:11" s="926" customFormat="1" ht="24.95" customHeight="1">
      <c r="A78" s="1024"/>
      <c r="B78" s="936" t="s">
        <v>6568</v>
      </c>
      <c r="C78" s="937">
        <v>1</v>
      </c>
      <c r="D78" s="936" t="s">
        <v>6383</v>
      </c>
      <c r="E78" s="937">
        <v>1</v>
      </c>
      <c r="F78" s="936">
        <v>35.1</v>
      </c>
      <c r="G78" s="936">
        <v>0.6</v>
      </c>
      <c r="H78" s="936"/>
      <c r="I78" s="928">
        <f t="shared" si="3"/>
        <v>21.06</v>
      </c>
      <c r="K78" s="929"/>
    </row>
    <row r="79" spans="1:11" s="926" customFormat="1" ht="24.95" customHeight="1">
      <c r="A79" s="1024"/>
      <c r="B79" s="936" t="s">
        <v>6567</v>
      </c>
      <c r="C79" s="937">
        <v>1</v>
      </c>
      <c r="D79" s="936" t="s">
        <v>6383</v>
      </c>
      <c r="E79" s="937">
        <v>1</v>
      </c>
      <c r="F79" s="936">
        <v>35.1</v>
      </c>
      <c r="G79" s="936"/>
      <c r="H79" s="936">
        <v>0.23</v>
      </c>
      <c r="I79" s="928">
        <f t="shared" si="3"/>
        <v>8.07</v>
      </c>
      <c r="K79" s="929"/>
    </row>
    <row r="80" spans="1:11" s="926" customFormat="1" ht="24.95" customHeight="1">
      <c r="A80" s="1024"/>
      <c r="B80" s="936" t="s">
        <v>6567</v>
      </c>
      <c r="C80" s="937">
        <v>1</v>
      </c>
      <c r="D80" s="936" t="s">
        <v>6383</v>
      </c>
      <c r="E80" s="937">
        <v>1</v>
      </c>
      <c r="F80" s="936">
        <f>(5.95+0.46)*2</f>
        <v>12.82</v>
      </c>
      <c r="G80" s="936"/>
      <c r="H80" s="936">
        <v>0.23</v>
      </c>
      <c r="I80" s="928">
        <f t="shared" si="3"/>
        <v>2.95</v>
      </c>
      <c r="K80" s="929"/>
    </row>
    <row r="81" spans="1:11" s="926" customFormat="1" ht="24.95" customHeight="1">
      <c r="A81" s="1024"/>
      <c r="B81" s="936" t="s">
        <v>6567</v>
      </c>
      <c r="C81" s="937">
        <v>1</v>
      </c>
      <c r="D81" s="936" t="s">
        <v>6383</v>
      </c>
      <c r="E81" s="937">
        <v>1</v>
      </c>
      <c r="F81" s="936">
        <f>(10.4+0.46)*2</f>
        <v>21.72</v>
      </c>
      <c r="G81" s="936"/>
      <c r="H81" s="936">
        <v>0.23</v>
      </c>
      <c r="I81" s="928">
        <f t="shared" si="3"/>
        <v>5</v>
      </c>
      <c r="K81" s="929"/>
    </row>
    <row r="82" spans="1:11" s="926" customFormat="1" ht="24.95" customHeight="1">
      <c r="A82" s="1024"/>
      <c r="B82" s="936" t="s">
        <v>6569</v>
      </c>
      <c r="C82" s="937">
        <v>1</v>
      </c>
      <c r="D82" s="936" t="s">
        <v>6383</v>
      </c>
      <c r="E82" s="937">
        <v>7</v>
      </c>
      <c r="F82" s="936">
        <v>5.95</v>
      </c>
      <c r="G82" s="936"/>
      <c r="H82" s="936">
        <v>0.23</v>
      </c>
      <c r="I82" s="928">
        <f t="shared" si="3"/>
        <v>9.58</v>
      </c>
      <c r="K82" s="929"/>
    </row>
    <row r="83" spans="1:11" s="926" customFormat="1" ht="20.25" customHeight="1">
      <c r="A83" s="1019"/>
      <c r="B83" s="920"/>
      <c r="C83" s="950"/>
      <c r="D83" s="923"/>
      <c r="E83" s="1018" t="s">
        <v>2245</v>
      </c>
      <c r="F83" s="1018"/>
      <c r="G83" s="1018"/>
      <c r="H83" s="924">
        <f>SUM(I74:I82)</f>
        <v>266.48</v>
      </c>
      <c r="I83" s="925"/>
      <c r="J83" s="926">
        <v>221</v>
      </c>
    </row>
    <row r="84" spans="1:11" s="926" customFormat="1" ht="20.25" customHeight="1">
      <c r="A84" s="938"/>
      <c r="B84" s="939"/>
      <c r="C84" s="950"/>
      <c r="D84" s="923"/>
      <c r="E84" s="1018" t="s">
        <v>6571</v>
      </c>
      <c r="F84" s="1018"/>
      <c r="G84" s="1018"/>
      <c r="H84" s="924">
        <f>H83*40%</f>
        <v>106.59</v>
      </c>
      <c r="I84" s="925" t="s">
        <v>2283</v>
      </c>
    </row>
    <row r="85" spans="1:11" s="915" customFormat="1" ht="74.25" customHeight="1">
      <c r="A85" s="1027">
        <f>A73+1</f>
        <v>10</v>
      </c>
      <c r="B85" s="1020" t="s">
        <v>6413</v>
      </c>
      <c r="C85" s="1021"/>
      <c r="D85" s="1021"/>
      <c r="E85" s="1021"/>
      <c r="F85" s="1021"/>
      <c r="G85" s="1021"/>
      <c r="H85" s="1021"/>
      <c r="I85" s="1021"/>
    </row>
    <row r="86" spans="1:11" s="915" customFormat="1" ht="16.5" customHeight="1">
      <c r="A86" s="1028"/>
      <c r="B86" s="920" t="s">
        <v>6505</v>
      </c>
      <c r="C86" s="937">
        <v>1</v>
      </c>
      <c r="D86" s="918" t="s">
        <v>6383</v>
      </c>
      <c r="E86" s="937">
        <v>2</v>
      </c>
      <c r="F86" s="921"/>
      <c r="G86" s="921"/>
      <c r="H86" s="921"/>
      <c r="I86" s="921">
        <f>ROUND(PRODUCT(C86:H86),2)</f>
        <v>2</v>
      </c>
    </row>
    <row r="87" spans="1:11" s="915" customFormat="1" ht="15" customHeight="1">
      <c r="A87" s="1028"/>
      <c r="B87" s="922" t="s">
        <v>6385</v>
      </c>
      <c r="C87" s="937"/>
      <c r="D87" s="918"/>
      <c r="E87" s="937"/>
      <c r="F87" s="921"/>
      <c r="G87" s="921"/>
      <c r="H87" s="921"/>
      <c r="I87" s="921"/>
    </row>
    <row r="88" spans="1:11" s="915" customFormat="1" ht="29.25" customHeight="1">
      <c r="A88" s="1028"/>
      <c r="B88" s="920"/>
      <c r="C88" s="950"/>
      <c r="D88" s="923"/>
      <c r="E88" s="1018" t="s">
        <v>2245</v>
      </c>
      <c r="F88" s="1018"/>
      <c r="G88" s="1018"/>
      <c r="H88" s="924">
        <f>ROUND(SUM(I86:I87),2)</f>
        <v>2</v>
      </c>
      <c r="I88" s="925" t="s">
        <v>1432</v>
      </c>
      <c r="J88" s="915">
        <v>5.5</v>
      </c>
    </row>
    <row r="89" spans="1:11" s="926" customFormat="1" ht="30.75" customHeight="1">
      <c r="A89" s="1024">
        <f>A85+1</f>
        <v>11</v>
      </c>
      <c r="B89" s="1021" t="str">
        <f>'[6]Thandrampattu Abstruct'!C34</f>
        <v>Wiring with 1.5 sqmm PVC insulated single core multi strand fire retardant flexible copper cable with ISI mark conforming to IS: 694/1990, 1.1 K.V. grade cable with continuous earth by means of 1.5 sqmm PVC insulated single core multi strand fire retardan</v>
      </c>
      <c r="C89" s="1021"/>
      <c r="D89" s="1021"/>
      <c r="E89" s="1021"/>
      <c r="F89" s="1021"/>
      <c r="G89" s="1021"/>
      <c r="H89" s="1021"/>
      <c r="I89" s="1021"/>
      <c r="K89" s="929"/>
    </row>
    <row r="90" spans="1:11" s="926" customFormat="1" ht="15.75" customHeight="1">
      <c r="A90" s="1019"/>
      <c r="B90" s="923" t="str">
        <f>'[6]Thandrampattu Abstruct'!C35</f>
        <v>a.) Light point with ceiling rose</v>
      </c>
      <c r="C90" s="950"/>
      <c r="D90" s="923"/>
      <c r="E90" s="956"/>
      <c r="F90" s="932"/>
      <c r="G90" s="932"/>
      <c r="H90" s="924"/>
      <c r="I90" s="925"/>
    </row>
    <row r="91" spans="1:11" s="926" customFormat="1" ht="12.75">
      <c r="A91" s="1019"/>
      <c r="B91" s="920" t="s">
        <v>6506</v>
      </c>
      <c r="C91" s="951">
        <v>1</v>
      </c>
      <c r="D91" s="927" t="s">
        <v>6383</v>
      </c>
      <c r="E91" s="951">
        <v>6</v>
      </c>
      <c r="F91" s="928"/>
      <c r="G91" s="928"/>
      <c r="H91" s="928"/>
      <c r="I91" s="928">
        <f>ROUND(PRODUCT(C91:H91),2)</f>
        <v>6</v>
      </c>
    </row>
    <row r="92" spans="1:11" s="926" customFormat="1" ht="15.75" customHeight="1">
      <c r="A92" s="1019"/>
      <c r="B92" s="920"/>
      <c r="C92" s="950"/>
      <c r="D92" s="923"/>
      <c r="E92" s="1018" t="s">
        <v>2245</v>
      </c>
      <c r="F92" s="1018"/>
      <c r="G92" s="1018"/>
      <c r="H92" s="924">
        <f>SUM(I91)</f>
        <v>6</v>
      </c>
      <c r="I92" s="925" t="s">
        <v>1394</v>
      </c>
      <c r="J92" s="926">
        <v>6</v>
      </c>
    </row>
    <row r="93" spans="1:11" s="926" customFormat="1" ht="15.75" customHeight="1">
      <c r="A93" s="1019"/>
      <c r="B93" s="923" t="str">
        <f>'[6]Thandrampattu Abstruct'!C36</f>
        <v xml:space="preserve">b.) Light point without ceiling rose </v>
      </c>
      <c r="C93" s="950"/>
      <c r="D93" s="923"/>
      <c r="E93" s="956"/>
      <c r="F93" s="932"/>
      <c r="G93" s="932"/>
      <c r="H93" s="924"/>
      <c r="I93" s="925"/>
    </row>
    <row r="94" spans="1:11" s="926" customFormat="1" ht="12.75">
      <c r="A94" s="1019"/>
      <c r="B94" s="920" t="s">
        <v>6473</v>
      </c>
      <c r="C94" s="951">
        <v>2</v>
      </c>
      <c r="D94" s="927" t="s">
        <v>6383</v>
      </c>
      <c r="E94" s="951">
        <v>2</v>
      </c>
      <c r="F94" s="928"/>
      <c r="G94" s="928"/>
      <c r="H94" s="928"/>
      <c r="I94" s="928">
        <f>ROUND(PRODUCT(C94:H94),2)</f>
        <v>4</v>
      </c>
    </row>
    <row r="95" spans="1:11" s="926" customFormat="1" ht="12.75">
      <c r="A95" s="1026"/>
      <c r="B95" s="920"/>
      <c r="C95" s="950"/>
      <c r="D95" s="923"/>
      <c r="E95" s="1018" t="s">
        <v>2245</v>
      </c>
      <c r="F95" s="1018"/>
      <c r="G95" s="1018"/>
      <c r="H95" s="924">
        <f>SUM(I94:I94)</f>
        <v>4</v>
      </c>
      <c r="I95" s="925" t="s">
        <v>1394</v>
      </c>
      <c r="J95" s="926">
        <v>4</v>
      </c>
      <c r="K95" s="929"/>
    </row>
    <row r="96" spans="1:11" s="926" customFormat="1" ht="17.25" customHeight="1">
      <c r="A96" s="1024">
        <f>A89+1</f>
        <v>12</v>
      </c>
      <c r="B96" s="1021" t="s">
        <v>6507</v>
      </c>
      <c r="C96" s="1021"/>
      <c r="D96" s="1021"/>
      <c r="E96" s="1021"/>
      <c r="F96" s="1021"/>
      <c r="G96" s="1021"/>
      <c r="H96" s="1021"/>
      <c r="I96" s="1021"/>
      <c r="K96" s="929"/>
    </row>
    <row r="97" spans="1:10" s="926" customFormat="1" ht="12.75">
      <c r="A97" s="1019"/>
      <c r="B97" s="920" t="s">
        <v>6474</v>
      </c>
      <c r="C97" s="951">
        <v>1</v>
      </c>
      <c r="D97" s="927" t="s">
        <v>6383</v>
      </c>
      <c r="E97" s="951">
        <v>3</v>
      </c>
      <c r="F97" s="928"/>
      <c r="G97" s="928"/>
      <c r="H97" s="928"/>
      <c r="I97" s="928">
        <f>ROUND(PRODUCT(C97:H97),2)</f>
        <v>3</v>
      </c>
    </row>
    <row r="98" spans="1:10" s="926" customFormat="1" ht="21.75" customHeight="1">
      <c r="A98" s="1019"/>
      <c r="B98" s="920"/>
      <c r="C98" s="950"/>
      <c r="D98" s="923"/>
      <c r="E98" s="1018" t="s">
        <v>2245</v>
      </c>
      <c r="F98" s="1018"/>
      <c r="G98" s="1018"/>
      <c r="H98" s="924">
        <f>ROUND(SUM(I97:I97),2)</f>
        <v>3</v>
      </c>
      <c r="I98" s="925" t="s">
        <v>1398</v>
      </c>
      <c r="J98" s="926">
        <v>221</v>
      </c>
    </row>
    <row r="99" spans="1:10" s="926" customFormat="1" ht="28.5" customHeight="1">
      <c r="A99" s="1022">
        <f>A96+1</f>
        <v>13</v>
      </c>
      <c r="B99" s="1020" t="str">
        <f>'[6]Thandrampattu Abstruct'!C42</f>
        <v>Supply and delivery of following Electric Ceiling fan with ISI mark with blades and double ball bearing, capacitor, etc., complete with 300mm down rod, canopies, capacitor, shackle blades with dimmer electronic regulator suitable for operation on 230 volt</v>
      </c>
      <c r="C99" s="1021"/>
      <c r="D99" s="1021"/>
      <c r="E99" s="1021"/>
      <c r="F99" s="1021"/>
      <c r="G99" s="1021"/>
      <c r="H99" s="1021"/>
      <c r="I99" s="1021"/>
    </row>
    <row r="100" spans="1:10" s="926" customFormat="1" ht="16.5" customHeight="1">
      <c r="A100" s="1023"/>
      <c r="B100" s="920"/>
      <c r="C100" s="951">
        <v>1</v>
      </c>
      <c r="D100" s="927" t="s">
        <v>6383</v>
      </c>
      <c r="E100" s="951">
        <v>4</v>
      </c>
      <c r="F100" s="928"/>
      <c r="G100" s="928"/>
      <c r="H100" s="928"/>
      <c r="I100" s="928">
        <f>ROUND(PRODUCT(C100:H100),2)</f>
        <v>4</v>
      </c>
    </row>
    <row r="101" spans="1:10" s="926" customFormat="1" ht="18.75" customHeight="1">
      <c r="A101" s="1023"/>
      <c r="B101" s="920"/>
      <c r="C101" s="950"/>
      <c r="D101" s="923"/>
      <c r="E101" s="1018" t="s">
        <v>2245</v>
      </c>
      <c r="F101" s="1018"/>
      <c r="G101" s="1018"/>
      <c r="H101" s="924">
        <f>ROUND(SUM(I100:I100),2)</f>
        <v>4</v>
      </c>
      <c r="I101" s="925" t="s">
        <v>1394</v>
      </c>
      <c r="J101" s="926">
        <v>5</v>
      </c>
    </row>
    <row r="102" spans="1:10" s="926" customFormat="1" ht="26.25" customHeight="1">
      <c r="A102" s="1022">
        <f>A99+1</f>
        <v>14</v>
      </c>
      <c r="B102" s="1021" t="str">
        <f>'[6]Thandrampattu Abstruct'!C43</f>
        <v>Charges for assembling and fixing of ceiling fan of different sweep with necessary connections and fixing of fan regulator on the existing board etc., all complete (Excluding cost of fan)</v>
      </c>
      <c r="C102" s="1021"/>
      <c r="D102" s="1021"/>
      <c r="E102" s="1021"/>
      <c r="F102" s="1021"/>
      <c r="G102" s="1021"/>
      <c r="H102" s="1021"/>
      <c r="I102" s="1021"/>
    </row>
    <row r="103" spans="1:10" s="926" customFormat="1" ht="16.5" customHeight="1">
      <c r="A103" s="1023"/>
      <c r="B103" s="920"/>
      <c r="C103" s="951">
        <v>1</v>
      </c>
      <c r="D103" s="927" t="s">
        <v>6383</v>
      </c>
      <c r="E103" s="951">
        <v>4</v>
      </c>
      <c r="F103" s="928"/>
      <c r="G103" s="928"/>
      <c r="H103" s="928"/>
      <c r="I103" s="928">
        <f>ROUND(PRODUCT(C103:H103),2)</f>
        <v>4</v>
      </c>
    </row>
    <row r="104" spans="1:10" s="926" customFormat="1" ht="20.25" customHeight="1">
      <c r="A104" s="1023"/>
      <c r="B104" s="920"/>
      <c r="C104" s="950"/>
      <c r="D104" s="923"/>
      <c r="E104" s="1018" t="s">
        <v>2245</v>
      </c>
      <c r="F104" s="1018"/>
      <c r="G104" s="1018"/>
      <c r="H104" s="924">
        <f>ROUND(SUM(I103:I103),2)</f>
        <v>4</v>
      </c>
      <c r="I104" s="925" t="s">
        <v>1394</v>
      </c>
      <c r="J104" s="926">
        <v>5</v>
      </c>
    </row>
    <row r="105" spans="1:10" s="926" customFormat="1" ht="29.25" customHeight="1">
      <c r="A105" s="1027">
        <f>A102+1</f>
        <v>15</v>
      </c>
      <c r="B105" s="1021" t="str">
        <f>'[6]Thandrampattu Abstruct'!C45</f>
        <v xml:space="preserve">Supplying and fixing of 4mm thick pin headed Glass panels with aluminium anodised ‘U’ shape beeding of size 12x12mm with 107 gram in average weight for 1m length with aluminium bolts and nuts for the shutters of the steel windows already supplied to suit </v>
      </c>
      <c r="C105" s="1021"/>
      <c r="D105" s="1021"/>
      <c r="E105" s="1021"/>
      <c r="F105" s="1021"/>
      <c r="G105" s="1021"/>
      <c r="H105" s="1021"/>
      <c r="I105" s="1021"/>
    </row>
    <row r="106" spans="1:10" s="926" customFormat="1" ht="16.5" customHeight="1">
      <c r="A106" s="1028"/>
      <c r="B106" s="920" t="s">
        <v>6475</v>
      </c>
      <c r="C106" s="951">
        <v>3</v>
      </c>
      <c r="D106" s="927" t="s">
        <v>6383</v>
      </c>
      <c r="E106" s="951">
        <v>8</v>
      </c>
      <c r="F106" s="928">
        <v>0.42</v>
      </c>
      <c r="G106" s="928">
        <v>0.6</v>
      </c>
      <c r="H106" s="928"/>
      <c r="I106" s="928">
        <f>ROUND(PRODUCT(C106:H106),2)</f>
        <v>6.05</v>
      </c>
    </row>
    <row r="107" spans="1:10" s="926" customFormat="1" ht="16.5" customHeight="1">
      <c r="A107" s="1028"/>
      <c r="B107" s="920" t="s">
        <v>6476</v>
      </c>
      <c r="C107" s="951">
        <v>1</v>
      </c>
      <c r="D107" s="927" t="s">
        <v>6383</v>
      </c>
      <c r="E107" s="951">
        <v>8</v>
      </c>
      <c r="F107" s="928">
        <v>0.5</v>
      </c>
      <c r="G107" s="928">
        <v>0.61</v>
      </c>
      <c r="H107" s="928"/>
      <c r="I107" s="928">
        <f>ROUND(PRODUCT(C107:H107),2)</f>
        <v>2.44</v>
      </c>
    </row>
    <row r="108" spans="1:10" s="926" customFormat="1" ht="15" customHeight="1">
      <c r="A108" s="1028"/>
      <c r="B108" s="922" t="s">
        <v>6385</v>
      </c>
      <c r="C108" s="951"/>
      <c r="D108" s="927"/>
      <c r="E108" s="951"/>
      <c r="F108" s="928"/>
      <c r="G108" s="928"/>
      <c r="H108" s="928"/>
      <c r="I108" s="928"/>
    </row>
    <row r="109" spans="1:10" s="926" customFormat="1" ht="15.75" customHeight="1">
      <c r="A109" s="1028"/>
      <c r="B109" s="920"/>
      <c r="C109" s="950"/>
      <c r="D109" s="923"/>
      <c r="E109" s="1018" t="s">
        <v>2245</v>
      </c>
      <c r="F109" s="1018"/>
      <c r="G109" s="1018"/>
      <c r="H109" s="924">
        <f>ROUND(SUM(I106:I108),2)</f>
        <v>8.49</v>
      </c>
      <c r="I109" s="925" t="s">
        <v>2283</v>
      </c>
    </row>
    <row r="110" spans="1:10" s="926" customFormat="1" ht="30" customHeight="1">
      <c r="A110" s="1022">
        <f>A105+1</f>
        <v>16</v>
      </c>
      <c r="B110" s="1020" t="str">
        <f>'[6]Thandrampattu Abstruct'!C46</f>
        <v xml:space="preserve">supplying and fixing  of half turn C.P Long body tap of best quality including cost of fittings with required specials, bends, labour for fixing etc., all complete and as directed by the departmental officers. (Quality and brand of fittings should be got </v>
      </c>
      <c r="C110" s="1021"/>
      <c r="D110" s="1021"/>
      <c r="E110" s="1021"/>
      <c r="F110" s="1021"/>
      <c r="G110" s="1021"/>
      <c r="H110" s="1021"/>
      <c r="I110" s="1021"/>
    </row>
    <row r="111" spans="1:10" s="926" customFormat="1" ht="17.25" customHeight="1">
      <c r="A111" s="1023"/>
      <c r="B111" s="922" t="s">
        <v>6388</v>
      </c>
      <c r="C111" s="951">
        <v>1</v>
      </c>
      <c r="D111" s="927" t="s">
        <v>6383</v>
      </c>
      <c r="E111" s="951">
        <v>4</v>
      </c>
      <c r="F111" s="928"/>
      <c r="G111" s="928"/>
      <c r="H111" s="928"/>
      <c r="I111" s="928">
        <f>ROUND(PRODUCT(C111:H111),2)</f>
        <v>4</v>
      </c>
    </row>
    <row r="112" spans="1:10" s="926" customFormat="1" ht="12.75">
      <c r="A112" s="1023"/>
      <c r="B112" s="922" t="s">
        <v>6385</v>
      </c>
      <c r="C112" s="951"/>
      <c r="D112" s="927"/>
      <c r="E112" s="951"/>
      <c r="F112" s="928"/>
      <c r="G112" s="928"/>
      <c r="H112" s="928"/>
      <c r="I112" s="928"/>
    </row>
    <row r="113" spans="1:11" s="926" customFormat="1" ht="29.25" customHeight="1">
      <c r="A113" s="1023"/>
      <c r="B113" s="920"/>
      <c r="C113" s="950"/>
      <c r="D113" s="923"/>
      <c r="E113" s="1018" t="s">
        <v>2245</v>
      </c>
      <c r="F113" s="1018"/>
      <c r="G113" s="1018"/>
      <c r="H113" s="924">
        <f>ROUND(SUM(I111:I112),2)</f>
        <v>4</v>
      </c>
      <c r="I113" s="925" t="s">
        <v>1398</v>
      </c>
      <c r="J113" s="926">
        <v>3.2</v>
      </c>
    </row>
    <row r="114" spans="1:11" s="926" customFormat="1" ht="27.75" customHeight="1">
      <c r="A114" s="1022">
        <f>A110+1</f>
        <v>17</v>
      </c>
      <c r="B114" s="1020" t="str">
        <f>'[6]Thandrampattu Abstruct'!C55</f>
        <v>supplying and fixing  of half turn C.P short body tap of best quality including cost of fittings with required specials, bends, labour for fixing etc., all complete and as directed by the departmental officers. (Quality and brand of fittings should be got</v>
      </c>
      <c r="C114" s="1021"/>
      <c r="D114" s="1021"/>
      <c r="E114" s="1021"/>
      <c r="F114" s="1021"/>
      <c r="G114" s="1021"/>
      <c r="H114" s="1021"/>
      <c r="I114" s="1021"/>
    </row>
    <row r="115" spans="1:11" s="926" customFormat="1" ht="17.25" customHeight="1">
      <c r="A115" s="1023"/>
      <c r="B115" s="922" t="s">
        <v>6388</v>
      </c>
      <c r="C115" s="951">
        <v>1</v>
      </c>
      <c r="D115" s="927" t="s">
        <v>6383</v>
      </c>
      <c r="E115" s="951">
        <v>2</v>
      </c>
      <c r="F115" s="928"/>
      <c r="G115" s="928"/>
      <c r="H115" s="928"/>
      <c r="I115" s="928">
        <f>ROUND(PRODUCT(C115:H115),2)</f>
        <v>2</v>
      </c>
    </row>
    <row r="116" spans="1:11" s="926" customFormat="1" ht="12.75">
      <c r="A116" s="1023"/>
      <c r="B116" s="922" t="s">
        <v>6385</v>
      </c>
      <c r="C116" s="951"/>
      <c r="D116" s="927"/>
      <c r="E116" s="951"/>
      <c r="F116" s="928"/>
      <c r="G116" s="928"/>
      <c r="H116" s="928"/>
      <c r="I116" s="928"/>
    </row>
    <row r="117" spans="1:11" s="926" customFormat="1" ht="15" customHeight="1">
      <c r="A117" s="1023"/>
      <c r="B117" s="920"/>
      <c r="C117" s="950"/>
      <c r="D117" s="923"/>
      <c r="E117" s="1018" t="s">
        <v>2245</v>
      </c>
      <c r="F117" s="1018"/>
      <c r="G117" s="1018"/>
      <c r="H117" s="924">
        <f>ROUND(SUM(I115:I116),2)</f>
        <v>2</v>
      </c>
      <c r="I117" s="925" t="s">
        <v>1398</v>
      </c>
      <c r="J117" s="926">
        <v>3.2</v>
      </c>
    </row>
    <row r="118" spans="1:11" s="915" customFormat="1" ht="39.75" customHeight="1">
      <c r="A118" s="1025">
        <f>A114+1</f>
        <v>18</v>
      </c>
      <c r="B118" s="1020" t="s">
        <v>6508</v>
      </c>
      <c r="C118" s="1021"/>
      <c r="D118" s="1021"/>
      <c r="E118" s="1021"/>
      <c r="F118" s="1021"/>
      <c r="G118" s="1021"/>
      <c r="H118" s="1021"/>
      <c r="I118" s="1021"/>
      <c r="K118" s="930"/>
    </row>
    <row r="119" spans="1:11" s="915" customFormat="1" ht="24.95" customHeight="1">
      <c r="A119" s="1025"/>
      <c r="B119" s="910" t="s">
        <v>6393</v>
      </c>
      <c r="C119" s="952">
        <v>1</v>
      </c>
      <c r="D119" s="911" t="s">
        <v>6383</v>
      </c>
      <c r="E119" s="952">
        <v>1</v>
      </c>
      <c r="F119" s="912">
        <v>12.7</v>
      </c>
      <c r="G119" s="912"/>
      <c r="H119" s="912">
        <v>3.2</v>
      </c>
      <c r="I119" s="912">
        <f t="shared" ref="I119:I174" si="4">ROUND(PRODUCT(C119:H119),2)</f>
        <v>40.64</v>
      </c>
      <c r="K119" s="930"/>
    </row>
    <row r="120" spans="1:11" s="915" customFormat="1" ht="24.95" customHeight="1">
      <c r="A120" s="1025"/>
      <c r="B120" s="910" t="s">
        <v>6531</v>
      </c>
      <c r="C120" s="952">
        <v>-1</v>
      </c>
      <c r="D120" s="911" t="s">
        <v>6383</v>
      </c>
      <c r="E120" s="952">
        <v>1</v>
      </c>
      <c r="F120" s="912">
        <v>0.9</v>
      </c>
      <c r="G120" s="912"/>
      <c r="H120" s="912">
        <v>2.1</v>
      </c>
      <c r="I120" s="912">
        <f t="shared" si="4"/>
        <v>-1.89</v>
      </c>
      <c r="K120" s="930"/>
    </row>
    <row r="121" spans="1:11" s="915" customFormat="1" ht="24.95" customHeight="1">
      <c r="A121" s="1025"/>
      <c r="B121" s="910" t="s">
        <v>6532</v>
      </c>
      <c r="C121" s="952">
        <v>-1</v>
      </c>
      <c r="D121" s="911" t="s">
        <v>6383</v>
      </c>
      <c r="E121" s="952">
        <v>1</v>
      </c>
      <c r="F121" s="912">
        <v>0.75</v>
      </c>
      <c r="G121" s="912"/>
      <c r="H121" s="912">
        <v>2.1</v>
      </c>
      <c r="I121" s="912">
        <f t="shared" si="4"/>
        <v>-1.58</v>
      </c>
      <c r="K121" s="930"/>
    </row>
    <row r="122" spans="1:11" s="915" customFormat="1" ht="24.95" customHeight="1">
      <c r="A122" s="1025"/>
      <c r="B122" s="910" t="s">
        <v>6533</v>
      </c>
      <c r="C122" s="952">
        <v>-1</v>
      </c>
      <c r="D122" s="911" t="s">
        <v>6383</v>
      </c>
      <c r="E122" s="952">
        <v>1</v>
      </c>
      <c r="F122" s="912">
        <v>1.5</v>
      </c>
      <c r="G122" s="912"/>
      <c r="H122" s="912">
        <v>1.35</v>
      </c>
      <c r="I122" s="912">
        <f t="shared" si="4"/>
        <v>-2.0299999999999998</v>
      </c>
      <c r="K122" s="930"/>
    </row>
    <row r="123" spans="1:11" s="915" customFormat="1" ht="24.95" customHeight="1">
      <c r="A123" s="1025"/>
      <c r="B123" s="910" t="s">
        <v>6534</v>
      </c>
      <c r="C123" s="952">
        <v>-1</v>
      </c>
      <c r="D123" s="911" t="s">
        <v>6383</v>
      </c>
      <c r="E123" s="952">
        <v>1</v>
      </c>
      <c r="F123" s="912">
        <v>1</v>
      </c>
      <c r="G123" s="912"/>
      <c r="H123" s="912">
        <v>1.35</v>
      </c>
      <c r="I123" s="912">
        <f t="shared" si="4"/>
        <v>-1.35</v>
      </c>
      <c r="K123" s="930"/>
    </row>
    <row r="124" spans="1:11" s="915" customFormat="1" ht="24.95" customHeight="1">
      <c r="A124" s="1025"/>
      <c r="B124" s="913" t="s">
        <v>6395</v>
      </c>
      <c r="C124" s="952">
        <v>1</v>
      </c>
      <c r="D124" s="911" t="s">
        <v>6383</v>
      </c>
      <c r="E124" s="952">
        <v>1</v>
      </c>
      <c r="F124" s="912">
        <v>12</v>
      </c>
      <c r="G124" s="912"/>
      <c r="H124" s="912">
        <v>3.2</v>
      </c>
      <c r="I124" s="912">
        <f>ROUND(PRODUCT(C124:H124),2)</f>
        <v>38.4</v>
      </c>
      <c r="K124" s="930"/>
    </row>
    <row r="125" spans="1:11" s="915" customFormat="1" ht="24.95" customHeight="1">
      <c r="A125" s="1025"/>
      <c r="B125" s="910" t="s">
        <v>6531</v>
      </c>
      <c r="C125" s="952">
        <v>-1</v>
      </c>
      <c r="D125" s="911" t="s">
        <v>6383</v>
      </c>
      <c r="E125" s="952">
        <v>1</v>
      </c>
      <c r="F125" s="912">
        <v>0.9</v>
      </c>
      <c r="G125" s="912"/>
      <c r="H125" s="912">
        <v>2.1</v>
      </c>
      <c r="I125" s="912">
        <f t="shared" ref="I125:I127" si="5">ROUND(PRODUCT(C125:H125),2)</f>
        <v>-1.89</v>
      </c>
      <c r="K125" s="930"/>
    </row>
    <row r="126" spans="1:11" s="915" customFormat="1" ht="24.95" customHeight="1">
      <c r="A126" s="1025"/>
      <c r="B126" s="910" t="s">
        <v>6532</v>
      </c>
      <c r="C126" s="952">
        <v>-1</v>
      </c>
      <c r="D126" s="911" t="s">
        <v>6383</v>
      </c>
      <c r="E126" s="952">
        <v>1</v>
      </c>
      <c r="F126" s="912">
        <v>0.75</v>
      </c>
      <c r="G126" s="912"/>
      <c r="H126" s="912">
        <v>2.1</v>
      </c>
      <c r="I126" s="912">
        <f t="shared" si="5"/>
        <v>-1.58</v>
      </c>
      <c r="K126" s="930"/>
    </row>
    <row r="127" spans="1:11" s="915" customFormat="1" ht="24.95" customHeight="1">
      <c r="A127" s="1025"/>
      <c r="B127" s="910" t="s">
        <v>6534</v>
      </c>
      <c r="C127" s="952">
        <v>-1</v>
      </c>
      <c r="D127" s="911" t="s">
        <v>6383</v>
      </c>
      <c r="E127" s="952">
        <v>1</v>
      </c>
      <c r="F127" s="912">
        <v>1</v>
      </c>
      <c r="G127" s="912"/>
      <c r="H127" s="912">
        <v>1.35</v>
      </c>
      <c r="I127" s="912">
        <f t="shared" si="5"/>
        <v>-1.35</v>
      </c>
      <c r="K127" s="930"/>
    </row>
    <row r="128" spans="1:11" s="915" customFormat="1" ht="24.95" customHeight="1">
      <c r="A128" s="1025"/>
      <c r="B128" s="913" t="s">
        <v>6522</v>
      </c>
      <c r="C128" s="952">
        <v>1</v>
      </c>
      <c r="D128" s="911" t="s">
        <v>6383</v>
      </c>
      <c r="E128" s="952">
        <v>2</v>
      </c>
      <c r="F128" s="912">
        <v>6.1</v>
      </c>
      <c r="G128" s="912"/>
      <c r="H128" s="912">
        <v>3.2</v>
      </c>
      <c r="I128" s="912">
        <f>ROUND(PRODUCT(C128:H128),2)</f>
        <v>39.04</v>
      </c>
      <c r="K128" s="930"/>
    </row>
    <row r="129" spans="1:11" s="915" customFormat="1" ht="24.95" customHeight="1">
      <c r="A129" s="1025"/>
      <c r="B129" s="910" t="s">
        <v>6532</v>
      </c>
      <c r="C129" s="952">
        <v>-2</v>
      </c>
      <c r="D129" s="911" t="s">
        <v>6383</v>
      </c>
      <c r="E129" s="952">
        <v>1</v>
      </c>
      <c r="F129" s="912">
        <v>0.75</v>
      </c>
      <c r="G129" s="912"/>
      <c r="H129" s="912">
        <v>2.1</v>
      </c>
      <c r="I129" s="912">
        <f t="shared" ref="I129" si="6">ROUND(PRODUCT(C129:H129),2)</f>
        <v>-3.15</v>
      </c>
      <c r="K129" s="930"/>
    </row>
    <row r="130" spans="1:11" s="915" customFormat="1" ht="24.95" customHeight="1">
      <c r="A130" s="1025"/>
      <c r="B130" s="913" t="s">
        <v>6414</v>
      </c>
      <c r="C130" s="952">
        <v>1</v>
      </c>
      <c r="D130" s="911" t="s">
        <v>6383</v>
      </c>
      <c r="E130" s="952">
        <v>1</v>
      </c>
      <c r="F130" s="912">
        <v>11</v>
      </c>
      <c r="G130" s="912"/>
      <c r="H130" s="912">
        <v>3.2</v>
      </c>
      <c r="I130" s="912">
        <f t="shared" si="4"/>
        <v>35.200000000000003</v>
      </c>
      <c r="K130" s="930"/>
    </row>
    <row r="131" spans="1:11" s="915" customFormat="1" ht="24.95" customHeight="1">
      <c r="A131" s="1025"/>
      <c r="B131" s="910" t="s">
        <v>6531</v>
      </c>
      <c r="C131" s="952">
        <v>-1</v>
      </c>
      <c r="D131" s="911" t="s">
        <v>6383</v>
      </c>
      <c r="E131" s="952">
        <v>1</v>
      </c>
      <c r="F131" s="912">
        <v>0.9</v>
      </c>
      <c r="G131" s="912"/>
      <c r="H131" s="912">
        <v>2.1</v>
      </c>
      <c r="I131" s="912">
        <f t="shared" si="4"/>
        <v>-1.89</v>
      </c>
      <c r="K131" s="930"/>
    </row>
    <row r="132" spans="1:11" s="915" customFormat="1" ht="24.95" customHeight="1">
      <c r="A132" s="1025"/>
      <c r="B132" s="910" t="s">
        <v>6419</v>
      </c>
      <c r="C132" s="952">
        <v>-1</v>
      </c>
      <c r="D132" s="911" t="s">
        <v>6391</v>
      </c>
      <c r="E132" s="952">
        <v>1</v>
      </c>
      <c r="F132" s="912">
        <v>1.1000000000000001</v>
      </c>
      <c r="G132" s="912"/>
      <c r="H132" s="912">
        <v>0.6</v>
      </c>
      <c r="I132" s="912">
        <f t="shared" si="4"/>
        <v>-0.66</v>
      </c>
      <c r="K132" s="930"/>
    </row>
    <row r="133" spans="1:11" s="915" customFormat="1" ht="24.95" customHeight="1">
      <c r="A133" s="1025"/>
      <c r="B133" s="910" t="s">
        <v>6387</v>
      </c>
      <c r="C133" s="952">
        <v>1</v>
      </c>
      <c r="D133" s="911" t="s">
        <v>6383</v>
      </c>
      <c r="E133" s="952">
        <v>1</v>
      </c>
      <c r="F133" s="912">
        <v>16.7</v>
      </c>
      <c r="G133" s="912"/>
      <c r="H133" s="912">
        <v>3.2</v>
      </c>
      <c r="I133" s="912">
        <f t="shared" si="4"/>
        <v>53.44</v>
      </c>
      <c r="K133" s="930"/>
    </row>
    <row r="134" spans="1:11" s="915" customFormat="1" ht="24.95" customHeight="1">
      <c r="A134" s="1025"/>
      <c r="B134" s="910" t="s">
        <v>6531</v>
      </c>
      <c r="C134" s="952">
        <v>-2</v>
      </c>
      <c r="D134" s="911" t="s">
        <v>6383</v>
      </c>
      <c r="E134" s="952">
        <v>1</v>
      </c>
      <c r="F134" s="912">
        <v>0.9</v>
      </c>
      <c r="G134" s="912"/>
      <c r="H134" s="912">
        <v>2.1</v>
      </c>
      <c r="I134" s="912">
        <f t="shared" si="4"/>
        <v>-3.78</v>
      </c>
      <c r="K134" s="930"/>
    </row>
    <row r="135" spans="1:11" s="915" customFormat="1" ht="24.95" customHeight="1">
      <c r="A135" s="1025"/>
      <c r="B135" s="913" t="s">
        <v>6415</v>
      </c>
      <c r="C135" s="952">
        <v>1</v>
      </c>
      <c r="D135" s="911" t="s">
        <v>6383</v>
      </c>
      <c r="E135" s="952">
        <v>1</v>
      </c>
      <c r="F135" s="912">
        <v>5.4</v>
      </c>
      <c r="G135" s="912"/>
      <c r="H135" s="912">
        <v>3.2</v>
      </c>
      <c r="I135" s="912">
        <f>ROUND(PRODUCT(C135:H135),2)</f>
        <v>17.28</v>
      </c>
      <c r="K135" s="930"/>
    </row>
    <row r="136" spans="1:11" s="915" customFormat="1" ht="24.95" customHeight="1">
      <c r="A136" s="1025"/>
      <c r="B136" s="910" t="s">
        <v>6535</v>
      </c>
      <c r="C136" s="952">
        <v>-1</v>
      </c>
      <c r="D136" s="911" t="s">
        <v>6391</v>
      </c>
      <c r="E136" s="952">
        <v>1</v>
      </c>
      <c r="F136" s="912">
        <v>0.6</v>
      </c>
      <c r="G136" s="912"/>
      <c r="H136" s="912">
        <v>0.6</v>
      </c>
      <c r="I136" s="912">
        <f t="shared" ref="I136:I137" si="7">ROUND(PRODUCT(C136:H136),2)</f>
        <v>-0.36</v>
      </c>
      <c r="K136" s="930"/>
    </row>
    <row r="137" spans="1:11" s="915" customFormat="1" ht="24.95" customHeight="1">
      <c r="A137" s="1025"/>
      <c r="B137" s="910" t="s">
        <v>6532</v>
      </c>
      <c r="C137" s="952">
        <v>-2</v>
      </c>
      <c r="D137" s="911" t="s">
        <v>6383</v>
      </c>
      <c r="E137" s="952">
        <v>1</v>
      </c>
      <c r="F137" s="912">
        <v>0.75</v>
      </c>
      <c r="G137" s="912"/>
      <c r="H137" s="912">
        <v>2.1</v>
      </c>
      <c r="I137" s="912">
        <f t="shared" si="7"/>
        <v>-3.15</v>
      </c>
      <c r="K137" s="930"/>
    </row>
    <row r="138" spans="1:11" s="915" customFormat="1" ht="24.95" customHeight="1">
      <c r="A138" s="1025"/>
      <c r="B138" s="913" t="s">
        <v>6365</v>
      </c>
      <c r="C138" s="952">
        <v>1</v>
      </c>
      <c r="D138" s="911" t="s">
        <v>6383</v>
      </c>
      <c r="E138" s="952">
        <v>1</v>
      </c>
      <c r="F138" s="912">
        <v>4.2</v>
      </c>
      <c r="G138" s="912"/>
      <c r="H138" s="912">
        <v>3.2</v>
      </c>
      <c r="I138" s="912">
        <f t="shared" si="4"/>
        <v>13.44</v>
      </c>
      <c r="K138" s="930"/>
    </row>
    <row r="139" spans="1:11" s="915" customFormat="1" ht="24.95" customHeight="1">
      <c r="A139" s="1025"/>
      <c r="B139" s="910" t="s">
        <v>6532</v>
      </c>
      <c r="C139" s="952">
        <v>-2</v>
      </c>
      <c r="D139" s="911" t="s">
        <v>6383</v>
      </c>
      <c r="E139" s="952">
        <v>1</v>
      </c>
      <c r="F139" s="912">
        <v>0.75</v>
      </c>
      <c r="G139" s="912"/>
      <c r="H139" s="912">
        <v>2.1</v>
      </c>
      <c r="I139" s="912">
        <f t="shared" si="4"/>
        <v>-3.15</v>
      </c>
      <c r="K139" s="930"/>
    </row>
    <row r="140" spans="1:11" s="915" customFormat="1" ht="24.95" customHeight="1">
      <c r="A140" s="1025"/>
      <c r="B140" s="910" t="s">
        <v>6535</v>
      </c>
      <c r="C140" s="952">
        <v>-1</v>
      </c>
      <c r="D140" s="911" t="s">
        <v>6391</v>
      </c>
      <c r="E140" s="952">
        <v>1</v>
      </c>
      <c r="F140" s="912">
        <v>0.6</v>
      </c>
      <c r="G140" s="912"/>
      <c r="H140" s="912">
        <v>0.6</v>
      </c>
      <c r="I140" s="912">
        <f t="shared" si="4"/>
        <v>-0.36</v>
      </c>
      <c r="K140" s="930"/>
    </row>
    <row r="141" spans="1:11" s="915" customFormat="1" ht="24.95" customHeight="1">
      <c r="A141" s="1025"/>
      <c r="B141" s="913" t="s">
        <v>6523</v>
      </c>
      <c r="C141" s="952">
        <v>1</v>
      </c>
      <c r="D141" s="911" t="s">
        <v>6383</v>
      </c>
      <c r="E141" s="952">
        <v>1</v>
      </c>
      <c r="F141" s="912">
        <v>6.24</v>
      </c>
      <c r="G141" s="912"/>
      <c r="H141" s="912">
        <v>3.2</v>
      </c>
      <c r="I141" s="912">
        <f>ROUND(PRODUCT(C141:H141),2)</f>
        <v>19.97</v>
      </c>
      <c r="K141" s="930"/>
    </row>
    <row r="142" spans="1:11" s="915" customFormat="1" ht="24.95" customHeight="1">
      <c r="A142" s="1025"/>
      <c r="B142" s="910" t="s">
        <v>6531</v>
      </c>
      <c r="C142" s="952">
        <v>-1</v>
      </c>
      <c r="D142" s="911" t="s">
        <v>6383</v>
      </c>
      <c r="E142" s="952">
        <v>1</v>
      </c>
      <c r="F142" s="912">
        <v>0.9</v>
      </c>
      <c r="G142" s="912"/>
      <c r="H142" s="912">
        <v>2.1</v>
      </c>
      <c r="I142" s="912">
        <f t="shared" ref="I142" si="8">ROUND(PRODUCT(C142:H142),2)</f>
        <v>-1.89</v>
      </c>
      <c r="K142" s="930"/>
    </row>
    <row r="143" spans="1:11" s="915" customFormat="1" ht="24.95" customHeight="1">
      <c r="A143" s="1025"/>
      <c r="B143" s="910" t="s">
        <v>6524</v>
      </c>
      <c r="C143" s="952">
        <v>1</v>
      </c>
      <c r="D143" s="911" t="s">
        <v>6383</v>
      </c>
      <c r="E143" s="952">
        <v>1</v>
      </c>
      <c r="F143" s="912">
        <v>17.2</v>
      </c>
      <c r="G143" s="912"/>
      <c r="H143" s="912">
        <v>3.2</v>
      </c>
      <c r="I143" s="912">
        <f t="shared" si="4"/>
        <v>55.04</v>
      </c>
      <c r="K143" s="930"/>
    </row>
    <row r="144" spans="1:11" s="915" customFormat="1" ht="24.95" customHeight="1">
      <c r="A144" s="1025"/>
      <c r="B144" s="910" t="s">
        <v>6536</v>
      </c>
      <c r="C144" s="952">
        <v>-1</v>
      </c>
      <c r="D144" s="911" t="s">
        <v>6391</v>
      </c>
      <c r="E144" s="952">
        <v>2</v>
      </c>
      <c r="F144" s="912">
        <v>1</v>
      </c>
      <c r="G144" s="912"/>
      <c r="H144" s="912">
        <v>2.1</v>
      </c>
      <c r="I144" s="912">
        <f t="shared" si="4"/>
        <v>-4.2</v>
      </c>
      <c r="K144" s="930"/>
    </row>
    <row r="145" spans="1:11" s="915" customFormat="1" ht="24.95" customHeight="1">
      <c r="A145" s="1025"/>
      <c r="B145" s="910" t="s">
        <v>6419</v>
      </c>
      <c r="C145" s="952">
        <v>-1</v>
      </c>
      <c r="D145" s="911" t="s">
        <v>6391</v>
      </c>
      <c r="E145" s="952">
        <v>2</v>
      </c>
      <c r="F145" s="912">
        <v>1.1000000000000001</v>
      </c>
      <c r="G145" s="912"/>
      <c r="H145" s="912">
        <v>0.6</v>
      </c>
      <c r="I145" s="912">
        <f t="shared" si="4"/>
        <v>-1.32</v>
      </c>
      <c r="K145" s="930"/>
    </row>
    <row r="146" spans="1:11" s="915" customFormat="1" ht="24.95" customHeight="1">
      <c r="A146" s="1025"/>
      <c r="B146" s="913" t="s">
        <v>6390</v>
      </c>
      <c r="C146" s="952">
        <v>1</v>
      </c>
      <c r="D146" s="911" t="s">
        <v>6383</v>
      </c>
      <c r="E146" s="952">
        <v>1</v>
      </c>
      <c r="F146" s="912">
        <v>26</v>
      </c>
      <c r="G146" s="912"/>
      <c r="H146" s="912">
        <v>4.2</v>
      </c>
      <c r="I146" s="912">
        <f>ROUND(PRODUCT(C146:H146),2)</f>
        <v>109.2</v>
      </c>
      <c r="K146" s="930"/>
    </row>
    <row r="147" spans="1:11" s="915" customFormat="1" ht="24.95" customHeight="1">
      <c r="A147" s="1025"/>
      <c r="B147" s="910" t="s">
        <v>6531</v>
      </c>
      <c r="C147" s="952">
        <v>-4</v>
      </c>
      <c r="D147" s="911" t="s">
        <v>6383</v>
      </c>
      <c r="E147" s="952">
        <v>1</v>
      </c>
      <c r="F147" s="912">
        <v>0.9</v>
      </c>
      <c r="G147" s="912"/>
      <c r="H147" s="912">
        <v>2.1</v>
      </c>
      <c r="I147" s="912">
        <f t="shared" ref="I147:I149" si="9">ROUND(PRODUCT(C147:H147),2)</f>
        <v>-7.56</v>
      </c>
      <c r="K147" s="930"/>
    </row>
    <row r="148" spans="1:11" s="915" customFormat="1" ht="24.95" customHeight="1">
      <c r="A148" s="1025"/>
      <c r="B148" s="910" t="s">
        <v>6536</v>
      </c>
      <c r="C148" s="952">
        <v>-1</v>
      </c>
      <c r="D148" s="911" t="s">
        <v>6391</v>
      </c>
      <c r="E148" s="952">
        <v>4</v>
      </c>
      <c r="F148" s="912">
        <v>1</v>
      </c>
      <c r="G148" s="912"/>
      <c r="H148" s="912">
        <v>2.1</v>
      </c>
      <c r="I148" s="912">
        <f t="shared" si="9"/>
        <v>-8.4</v>
      </c>
      <c r="K148" s="930"/>
    </row>
    <row r="149" spans="1:11" s="915" customFormat="1" ht="24.95" customHeight="1">
      <c r="A149" s="1025"/>
      <c r="B149" s="910" t="s">
        <v>6537</v>
      </c>
      <c r="C149" s="952">
        <v>-1</v>
      </c>
      <c r="D149" s="911" t="s">
        <v>6383</v>
      </c>
      <c r="E149" s="952">
        <v>1</v>
      </c>
      <c r="F149" s="912">
        <v>1.5</v>
      </c>
      <c r="G149" s="912"/>
      <c r="H149" s="912">
        <v>2.1</v>
      </c>
      <c r="I149" s="912">
        <f t="shared" si="9"/>
        <v>-3.15</v>
      </c>
      <c r="K149" s="930"/>
    </row>
    <row r="150" spans="1:11" s="915" customFormat="1" ht="24.95" customHeight="1">
      <c r="A150" s="1025"/>
      <c r="B150" s="913" t="s">
        <v>6525</v>
      </c>
      <c r="C150" s="952">
        <v>1</v>
      </c>
      <c r="D150" s="911" t="s">
        <v>6383</v>
      </c>
      <c r="E150" s="952">
        <v>1</v>
      </c>
      <c r="F150" s="912">
        <v>18.600000000000001</v>
      </c>
      <c r="G150" s="912"/>
      <c r="H150" s="912">
        <v>3.2</v>
      </c>
      <c r="I150" s="912">
        <f t="shared" si="4"/>
        <v>59.52</v>
      </c>
      <c r="K150" s="930"/>
    </row>
    <row r="151" spans="1:11" s="915" customFormat="1" ht="24.95" customHeight="1">
      <c r="A151" s="1025"/>
      <c r="B151" s="910" t="s">
        <v>6538</v>
      </c>
      <c r="C151" s="952">
        <v>-1</v>
      </c>
      <c r="D151" s="911" t="s">
        <v>6391</v>
      </c>
      <c r="E151" s="952">
        <v>1</v>
      </c>
      <c r="F151" s="912">
        <v>1.75</v>
      </c>
      <c r="G151" s="912"/>
      <c r="H151" s="912">
        <v>2.1</v>
      </c>
      <c r="I151" s="912">
        <f t="shared" si="4"/>
        <v>-3.68</v>
      </c>
      <c r="K151" s="930"/>
    </row>
    <row r="152" spans="1:11" s="915" customFormat="1" ht="24.95" customHeight="1">
      <c r="A152" s="1025"/>
      <c r="B152" s="910" t="s">
        <v>6531</v>
      </c>
      <c r="C152" s="952">
        <v>-2</v>
      </c>
      <c r="D152" s="911" t="s">
        <v>6383</v>
      </c>
      <c r="E152" s="952">
        <v>1</v>
      </c>
      <c r="F152" s="912">
        <v>0.9</v>
      </c>
      <c r="G152" s="912"/>
      <c r="H152" s="912">
        <v>2.1</v>
      </c>
      <c r="I152" s="912">
        <f t="shared" si="4"/>
        <v>-3.78</v>
      </c>
      <c r="K152" s="930"/>
    </row>
    <row r="153" spans="1:11" s="915" customFormat="1" ht="24.95" customHeight="1">
      <c r="A153" s="1025"/>
      <c r="B153" s="910" t="s">
        <v>6537</v>
      </c>
      <c r="C153" s="952">
        <v>-1</v>
      </c>
      <c r="D153" s="911" t="s">
        <v>6383</v>
      </c>
      <c r="E153" s="952">
        <v>2</v>
      </c>
      <c r="F153" s="912">
        <v>1.5</v>
      </c>
      <c r="G153" s="912"/>
      <c r="H153" s="912">
        <v>2.1</v>
      </c>
      <c r="I153" s="912">
        <f t="shared" si="4"/>
        <v>-6.3</v>
      </c>
      <c r="K153" s="930"/>
    </row>
    <row r="154" spans="1:11" s="915" customFormat="1" ht="24.95" customHeight="1">
      <c r="A154" s="1025"/>
      <c r="B154" s="913" t="s">
        <v>6386</v>
      </c>
      <c r="C154" s="952">
        <v>1</v>
      </c>
      <c r="D154" s="911" t="s">
        <v>6383</v>
      </c>
      <c r="E154" s="952">
        <v>1</v>
      </c>
      <c r="F154" s="912">
        <v>12.9</v>
      </c>
      <c r="G154" s="912"/>
      <c r="H154" s="912">
        <v>3.2</v>
      </c>
      <c r="I154" s="912">
        <f>ROUND(PRODUCT(C154:H154),2)</f>
        <v>41.28</v>
      </c>
      <c r="K154" s="930"/>
    </row>
    <row r="155" spans="1:11" s="915" customFormat="1" ht="24.95" customHeight="1">
      <c r="A155" s="1025"/>
      <c r="B155" s="910" t="s">
        <v>6533</v>
      </c>
      <c r="C155" s="952">
        <v>-1</v>
      </c>
      <c r="D155" s="911" t="s">
        <v>6383</v>
      </c>
      <c r="E155" s="952">
        <v>1</v>
      </c>
      <c r="F155" s="912">
        <v>1.5</v>
      </c>
      <c r="G155" s="912"/>
      <c r="H155" s="912">
        <v>1.35</v>
      </c>
      <c r="I155" s="912">
        <f t="shared" ref="I155:I157" si="10">ROUND(PRODUCT(C155:H155),2)</f>
        <v>-2.0299999999999998</v>
      </c>
      <c r="K155" s="930"/>
    </row>
    <row r="156" spans="1:11" s="915" customFormat="1" ht="24.95" customHeight="1">
      <c r="A156" s="1025"/>
      <c r="B156" s="910" t="s">
        <v>6534</v>
      </c>
      <c r="C156" s="952">
        <v>-1</v>
      </c>
      <c r="D156" s="911" t="s">
        <v>6383</v>
      </c>
      <c r="E156" s="952">
        <v>1</v>
      </c>
      <c r="F156" s="912">
        <v>1</v>
      </c>
      <c r="G156" s="912"/>
      <c r="H156" s="912">
        <v>1.35</v>
      </c>
      <c r="I156" s="912">
        <f t="shared" si="10"/>
        <v>-1.35</v>
      </c>
      <c r="K156" s="930"/>
    </row>
    <row r="157" spans="1:11" s="915" customFormat="1" ht="24.95" customHeight="1">
      <c r="A157" s="1025"/>
      <c r="B157" s="910" t="s">
        <v>6531</v>
      </c>
      <c r="C157" s="952">
        <v>-2</v>
      </c>
      <c r="D157" s="911" t="s">
        <v>6383</v>
      </c>
      <c r="E157" s="952">
        <v>1</v>
      </c>
      <c r="F157" s="912">
        <v>0.9</v>
      </c>
      <c r="G157" s="912"/>
      <c r="H157" s="912">
        <v>2.1</v>
      </c>
      <c r="I157" s="912">
        <f t="shared" si="10"/>
        <v>-3.78</v>
      </c>
      <c r="K157" s="930"/>
    </row>
    <row r="158" spans="1:11" s="915" customFormat="1" ht="24.95" customHeight="1">
      <c r="A158" s="1025"/>
      <c r="B158" s="910" t="s">
        <v>6526</v>
      </c>
      <c r="C158" s="952">
        <v>1</v>
      </c>
      <c r="D158" s="911" t="s">
        <v>6383</v>
      </c>
      <c r="E158" s="952">
        <v>1</v>
      </c>
      <c r="F158" s="912">
        <v>17.2</v>
      </c>
      <c r="G158" s="912"/>
      <c r="H158" s="912">
        <v>3.2</v>
      </c>
      <c r="I158" s="912">
        <f t="shared" si="4"/>
        <v>55.04</v>
      </c>
      <c r="K158" s="930"/>
    </row>
    <row r="159" spans="1:11" s="915" customFormat="1" ht="24.95" customHeight="1">
      <c r="A159" s="1025"/>
      <c r="B159" s="910" t="s">
        <v>6536</v>
      </c>
      <c r="C159" s="952">
        <v>-1</v>
      </c>
      <c r="D159" s="911" t="s">
        <v>6391</v>
      </c>
      <c r="E159" s="952">
        <v>2</v>
      </c>
      <c r="F159" s="912">
        <v>1</v>
      </c>
      <c r="G159" s="912"/>
      <c r="H159" s="912">
        <v>2.1</v>
      </c>
      <c r="I159" s="912">
        <f t="shared" si="4"/>
        <v>-4.2</v>
      </c>
      <c r="K159" s="930"/>
    </row>
    <row r="160" spans="1:11" s="915" customFormat="1" ht="24.95" customHeight="1">
      <c r="A160" s="1025"/>
      <c r="B160" s="910" t="s">
        <v>6419</v>
      </c>
      <c r="C160" s="952">
        <v>-1</v>
      </c>
      <c r="D160" s="911" t="s">
        <v>6391</v>
      </c>
      <c r="E160" s="952">
        <v>2</v>
      </c>
      <c r="F160" s="912">
        <v>1.1000000000000001</v>
      </c>
      <c r="G160" s="912"/>
      <c r="H160" s="912">
        <v>0.6</v>
      </c>
      <c r="I160" s="912">
        <f t="shared" si="4"/>
        <v>-1.32</v>
      </c>
      <c r="K160" s="930"/>
    </row>
    <row r="161" spans="1:11" s="915" customFormat="1" ht="24.95" customHeight="1">
      <c r="A161" s="1025"/>
      <c r="B161" s="913" t="s">
        <v>6407</v>
      </c>
      <c r="C161" s="952">
        <v>1</v>
      </c>
      <c r="D161" s="911" t="s">
        <v>6383</v>
      </c>
      <c r="E161" s="952">
        <v>1</v>
      </c>
      <c r="F161" s="912">
        <v>17.399999999999999</v>
      </c>
      <c r="G161" s="912"/>
      <c r="H161" s="912">
        <v>3.2</v>
      </c>
      <c r="I161" s="912">
        <f t="shared" si="4"/>
        <v>55.68</v>
      </c>
      <c r="K161" s="930"/>
    </row>
    <row r="162" spans="1:11" s="915" customFormat="1" ht="24.95" customHeight="1">
      <c r="A162" s="1025"/>
      <c r="B162" s="910" t="s">
        <v>6531</v>
      </c>
      <c r="C162" s="952">
        <v>-2</v>
      </c>
      <c r="D162" s="911" t="s">
        <v>6383</v>
      </c>
      <c r="E162" s="952">
        <v>1</v>
      </c>
      <c r="F162" s="912">
        <v>0.9</v>
      </c>
      <c r="G162" s="912"/>
      <c r="H162" s="912">
        <v>2.1</v>
      </c>
      <c r="I162" s="912">
        <f t="shared" si="4"/>
        <v>-3.78</v>
      </c>
      <c r="K162" s="930"/>
    </row>
    <row r="163" spans="1:11" s="915" customFormat="1" ht="24.95" customHeight="1">
      <c r="A163" s="1025"/>
      <c r="B163" s="910" t="s">
        <v>6419</v>
      </c>
      <c r="C163" s="952">
        <v>-1</v>
      </c>
      <c r="D163" s="911" t="s">
        <v>6391</v>
      </c>
      <c r="E163" s="952">
        <v>2</v>
      </c>
      <c r="F163" s="912">
        <v>1.1000000000000001</v>
      </c>
      <c r="G163" s="912"/>
      <c r="H163" s="912">
        <v>0.6</v>
      </c>
      <c r="I163" s="912">
        <f t="shared" si="4"/>
        <v>-1.32</v>
      </c>
      <c r="K163" s="930"/>
    </row>
    <row r="164" spans="1:11" s="915" customFormat="1" ht="24.95" customHeight="1">
      <c r="A164" s="1025"/>
      <c r="B164" s="910" t="s">
        <v>6539</v>
      </c>
      <c r="C164" s="952">
        <v>1</v>
      </c>
      <c r="D164" s="911" t="s">
        <v>6383</v>
      </c>
      <c r="E164" s="952">
        <v>5</v>
      </c>
      <c r="F164" s="912">
        <v>6</v>
      </c>
      <c r="G164" s="912">
        <v>0.12</v>
      </c>
      <c r="H164" s="912"/>
      <c r="I164" s="912">
        <f t="shared" si="4"/>
        <v>3.6</v>
      </c>
      <c r="K164" s="930"/>
    </row>
    <row r="165" spans="1:11" s="915" customFormat="1" ht="24.95" customHeight="1">
      <c r="A165" s="1025"/>
      <c r="B165" s="910" t="s">
        <v>6540</v>
      </c>
      <c r="C165" s="952">
        <v>1</v>
      </c>
      <c r="D165" s="911" t="s">
        <v>6383</v>
      </c>
      <c r="E165" s="952">
        <v>5</v>
      </c>
      <c r="F165" s="912">
        <v>5.7</v>
      </c>
      <c r="G165" s="912">
        <v>0.12</v>
      </c>
      <c r="H165" s="912"/>
      <c r="I165" s="912">
        <f t="shared" si="4"/>
        <v>3.42</v>
      </c>
      <c r="K165" s="930"/>
    </row>
    <row r="166" spans="1:11" s="915" customFormat="1" ht="24.95" customHeight="1">
      <c r="A166" s="1025"/>
      <c r="B166" s="910" t="s">
        <v>6541</v>
      </c>
      <c r="C166" s="952">
        <v>1</v>
      </c>
      <c r="D166" s="911" t="s">
        <v>6383</v>
      </c>
      <c r="E166" s="952">
        <v>2</v>
      </c>
      <c r="F166" s="912">
        <v>5.7</v>
      </c>
      <c r="G166" s="912">
        <v>0.12</v>
      </c>
      <c r="H166" s="912"/>
      <c r="I166" s="912">
        <f t="shared" si="4"/>
        <v>1.37</v>
      </c>
      <c r="K166" s="930"/>
    </row>
    <row r="167" spans="1:11" s="915" customFormat="1" ht="24.95" customHeight="1">
      <c r="A167" s="1025"/>
      <c r="B167" s="910" t="s">
        <v>6542</v>
      </c>
      <c r="C167" s="952">
        <v>1</v>
      </c>
      <c r="D167" s="911" t="s">
        <v>6383</v>
      </c>
      <c r="E167" s="952">
        <v>4</v>
      </c>
      <c r="F167" s="912">
        <v>4.7</v>
      </c>
      <c r="G167" s="912">
        <v>0.12</v>
      </c>
      <c r="H167" s="912"/>
      <c r="I167" s="912">
        <f t="shared" si="4"/>
        <v>2.2599999999999998</v>
      </c>
      <c r="K167" s="930"/>
    </row>
    <row r="168" spans="1:11" s="915" customFormat="1" ht="24.95" customHeight="1">
      <c r="A168" s="1025"/>
      <c r="B168" s="910" t="s">
        <v>6543</v>
      </c>
      <c r="C168" s="952">
        <v>1</v>
      </c>
      <c r="D168" s="911" t="s">
        <v>6383</v>
      </c>
      <c r="E168" s="952">
        <v>4</v>
      </c>
      <c r="F168" s="912">
        <v>6.2</v>
      </c>
      <c r="G168" s="912">
        <v>0.12</v>
      </c>
      <c r="H168" s="912"/>
      <c r="I168" s="912">
        <f t="shared" si="4"/>
        <v>2.98</v>
      </c>
      <c r="K168" s="930"/>
    </row>
    <row r="169" spans="1:11" s="915" customFormat="1" ht="24.95" customHeight="1">
      <c r="A169" s="1025"/>
      <c r="B169" s="910" t="s">
        <v>6544</v>
      </c>
      <c r="C169" s="952">
        <v>1</v>
      </c>
      <c r="D169" s="911" t="s">
        <v>6383</v>
      </c>
      <c r="E169" s="952">
        <v>1</v>
      </c>
      <c r="F169" s="912">
        <v>5.95</v>
      </c>
      <c r="G169" s="912">
        <v>0.12</v>
      </c>
      <c r="H169" s="912"/>
      <c r="I169" s="912">
        <f t="shared" si="4"/>
        <v>0.71</v>
      </c>
      <c r="K169" s="930"/>
    </row>
    <row r="170" spans="1:11" s="915" customFormat="1" ht="24.95" customHeight="1">
      <c r="A170" s="1025"/>
      <c r="B170" s="910" t="s">
        <v>6545</v>
      </c>
      <c r="C170" s="952">
        <v>1</v>
      </c>
      <c r="D170" s="911" t="s">
        <v>6383</v>
      </c>
      <c r="E170" s="952">
        <v>5</v>
      </c>
      <c r="F170" s="912">
        <v>3.4</v>
      </c>
      <c r="G170" s="912">
        <v>0.12</v>
      </c>
      <c r="H170" s="912"/>
      <c r="I170" s="912">
        <f t="shared" si="4"/>
        <v>2.04</v>
      </c>
      <c r="K170" s="930"/>
    </row>
    <row r="171" spans="1:11" s="915" customFormat="1" ht="24.95" customHeight="1">
      <c r="A171" s="1025"/>
      <c r="B171" s="910" t="s">
        <v>6546</v>
      </c>
      <c r="C171" s="952">
        <v>1</v>
      </c>
      <c r="D171" s="911" t="s">
        <v>6383</v>
      </c>
      <c r="E171" s="952">
        <v>3</v>
      </c>
      <c r="F171" s="912">
        <v>2.4</v>
      </c>
      <c r="G171" s="912">
        <v>0.12</v>
      </c>
      <c r="H171" s="912"/>
      <c r="I171" s="912">
        <f t="shared" si="4"/>
        <v>0.86</v>
      </c>
      <c r="K171" s="930"/>
    </row>
    <row r="172" spans="1:11" s="915" customFormat="1" ht="24.95" customHeight="1">
      <c r="A172" s="1025"/>
      <c r="B172" s="910" t="s">
        <v>6547</v>
      </c>
      <c r="C172" s="952">
        <v>1</v>
      </c>
      <c r="D172" s="911" t="s">
        <v>6383</v>
      </c>
      <c r="E172" s="952">
        <v>2</v>
      </c>
      <c r="F172" s="912">
        <v>5.7</v>
      </c>
      <c r="G172" s="912">
        <v>0.12</v>
      </c>
      <c r="H172" s="912"/>
      <c r="I172" s="912">
        <f t="shared" si="4"/>
        <v>1.37</v>
      </c>
      <c r="K172" s="930"/>
    </row>
    <row r="173" spans="1:11" s="915" customFormat="1" ht="24.95" customHeight="1">
      <c r="A173" s="1025"/>
      <c r="B173" s="910" t="s">
        <v>6548</v>
      </c>
      <c r="C173" s="952">
        <v>1</v>
      </c>
      <c r="D173" s="911" t="s">
        <v>6383</v>
      </c>
      <c r="E173" s="952">
        <v>1</v>
      </c>
      <c r="F173" s="912">
        <v>6</v>
      </c>
      <c r="G173" s="912">
        <v>0.12</v>
      </c>
      <c r="H173" s="912"/>
      <c r="I173" s="912">
        <f t="shared" si="4"/>
        <v>0.72</v>
      </c>
      <c r="K173" s="930"/>
    </row>
    <row r="174" spans="1:11" s="915" customFormat="1" ht="24.95" customHeight="1">
      <c r="A174" s="1025"/>
      <c r="B174" s="910" t="s">
        <v>6549</v>
      </c>
      <c r="C174" s="952">
        <v>1</v>
      </c>
      <c r="D174" s="911" t="s">
        <v>6383</v>
      </c>
      <c r="E174" s="952">
        <v>1</v>
      </c>
      <c r="F174" s="912">
        <v>6.4</v>
      </c>
      <c r="G174" s="912">
        <v>0.12</v>
      </c>
      <c r="H174" s="912"/>
      <c r="I174" s="912">
        <f t="shared" si="4"/>
        <v>0.77</v>
      </c>
      <c r="K174" s="930"/>
    </row>
    <row r="175" spans="1:11" s="915" customFormat="1" ht="24.95" customHeight="1">
      <c r="A175" s="1025"/>
      <c r="B175" s="910" t="s">
        <v>6550</v>
      </c>
      <c r="C175" s="952">
        <v>4</v>
      </c>
      <c r="D175" s="911" t="s">
        <v>6383</v>
      </c>
      <c r="E175" s="952">
        <v>2</v>
      </c>
      <c r="F175" s="912">
        <v>1.5</v>
      </c>
      <c r="G175" s="912"/>
      <c r="H175" s="912">
        <v>1.2</v>
      </c>
      <c r="I175" s="912">
        <f>ROUND(PRODUCT(C175:H175),2)</f>
        <v>14.4</v>
      </c>
      <c r="K175" s="930"/>
    </row>
    <row r="176" spans="1:11" s="915" customFormat="1">
      <c r="A176" s="1026"/>
      <c r="B176" s="920"/>
      <c r="C176" s="950"/>
      <c r="D176" s="923"/>
      <c r="E176" s="1018" t="s">
        <v>2245</v>
      </c>
      <c r="F176" s="1018"/>
      <c r="G176" s="1018"/>
      <c r="H176" s="924">
        <f>SUM(I119:I175)</f>
        <v>581.44000000000005</v>
      </c>
      <c r="I176" s="925" t="s">
        <v>2283</v>
      </c>
      <c r="J176" s="915">
        <f>13095</f>
        <v>13095</v>
      </c>
      <c r="K176" s="930"/>
    </row>
    <row r="177" spans="1:11" s="915" customFormat="1" ht="51.75" customHeight="1">
      <c r="A177" s="1025">
        <f>A118+1</f>
        <v>19</v>
      </c>
      <c r="B177" s="1020" t="s">
        <v>6509</v>
      </c>
      <c r="C177" s="1020"/>
      <c r="D177" s="1020"/>
      <c r="E177" s="1020"/>
      <c r="F177" s="1020"/>
      <c r="G177" s="1020"/>
      <c r="H177" s="1020"/>
      <c r="I177" s="1020"/>
      <c r="K177" s="930"/>
    </row>
    <row r="178" spans="1:11" s="915" customFormat="1" ht="29.25" customHeight="1">
      <c r="A178" s="1025"/>
      <c r="B178" s="913" t="s">
        <v>6420</v>
      </c>
      <c r="C178" s="952">
        <v>1</v>
      </c>
      <c r="D178" s="911" t="s">
        <v>6383</v>
      </c>
      <c r="E178" s="952">
        <v>1</v>
      </c>
      <c r="F178" s="912">
        <v>61.46</v>
      </c>
      <c r="G178" s="912"/>
      <c r="H178" s="912">
        <v>4.5</v>
      </c>
      <c r="I178" s="912">
        <f t="shared" ref="I178:I193" si="11">ROUND(PRODUCT(C178:H178),2)</f>
        <v>276.57</v>
      </c>
      <c r="K178" s="930"/>
    </row>
    <row r="179" spans="1:11" s="915" customFormat="1" ht="29.25" customHeight="1">
      <c r="A179" s="1025"/>
      <c r="B179" s="910" t="s">
        <v>6551</v>
      </c>
      <c r="C179" s="952">
        <v>1</v>
      </c>
      <c r="D179" s="911" t="s">
        <v>6383</v>
      </c>
      <c r="E179" s="952">
        <v>1</v>
      </c>
      <c r="F179" s="912">
        <v>27.84</v>
      </c>
      <c r="G179" s="912"/>
      <c r="H179" s="912">
        <v>0.9</v>
      </c>
      <c r="I179" s="912">
        <f t="shared" si="11"/>
        <v>25.06</v>
      </c>
      <c r="K179" s="930"/>
    </row>
    <row r="180" spans="1:11" s="915" customFormat="1" ht="29.25" customHeight="1">
      <c r="A180" s="1025"/>
      <c r="B180" s="913" t="s">
        <v>6416</v>
      </c>
      <c r="C180" s="952">
        <v>-1</v>
      </c>
      <c r="D180" s="911" t="s">
        <v>6383</v>
      </c>
      <c r="E180" s="952">
        <v>1</v>
      </c>
      <c r="F180" s="912">
        <v>1.75</v>
      </c>
      <c r="G180" s="912"/>
      <c r="H180" s="912">
        <v>2.1</v>
      </c>
      <c r="I180" s="912">
        <f t="shared" si="11"/>
        <v>-3.68</v>
      </c>
      <c r="K180" s="930"/>
    </row>
    <row r="181" spans="1:11" s="915" customFormat="1" ht="29.25" customHeight="1">
      <c r="A181" s="1025"/>
      <c r="B181" s="913" t="s">
        <v>6552</v>
      </c>
      <c r="C181" s="952">
        <v>1</v>
      </c>
      <c r="D181" s="911" t="s">
        <v>6383</v>
      </c>
      <c r="E181" s="952">
        <v>1</v>
      </c>
      <c r="F181" s="912">
        <v>5.95</v>
      </c>
      <c r="G181" s="912">
        <v>0.1</v>
      </c>
      <c r="H181" s="912"/>
      <c r="I181" s="912">
        <f t="shared" si="11"/>
        <v>0.6</v>
      </c>
      <c r="K181" s="930"/>
    </row>
    <row r="182" spans="1:11" s="915" customFormat="1" ht="29.25" customHeight="1">
      <c r="A182" s="1025"/>
      <c r="B182" s="913" t="s">
        <v>6418</v>
      </c>
      <c r="C182" s="952">
        <v>-1</v>
      </c>
      <c r="D182" s="911" t="s">
        <v>6383</v>
      </c>
      <c r="E182" s="952">
        <v>2</v>
      </c>
      <c r="F182" s="912">
        <v>1.5</v>
      </c>
      <c r="G182" s="912"/>
      <c r="H182" s="912">
        <v>1.35</v>
      </c>
      <c r="I182" s="912">
        <f t="shared" si="11"/>
        <v>-4.05</v>
      </c>
      <c r="K182" s="930"/>
    </row>
    <row r="183" spans="1:11" s="915" customFormat="1" ht="29.25" customHeight="1">
      <c r="A183" s="1025"/>
      <c r="B183" s="913" t="s">
        <v>6553</v>
      </c>
      <c r="C183" s="952">
        <v>1</v>
      </c>
      <c r="D183" s="911" t="s">
        <v>6383</v>
      </c>
      <c r="E183" s="952">
        <v>1</v>
      </c>
      <c r="F183" s="912">
        <v>5.7</v>
      </c>
      <c r="G183" s="912">
        <v>0.1</v>
      </c>
      <c r="H183" s="912"/>
      <c r="I183" s="912">
        <f t="shared" si="11"/>
        <v>0.56999999999999995</v>
      </c>
      <c r="K183" s="930"/>
    </row>
    <row r="184" spans="1:11" s="915" customFormat="1" ht="29.25" customHeight="1">
      <c r="A184" s="1025"/>
      <c r="B184" s="913" t="s">
        <v>6417</v>
      </c>
      <c r="C184" s="952">
        <v>-1</v>
      </c>
      <c r="D184" s="911" t="s">
        <v>6383</v>
      </c>
      <c r="E184" s="952">
        <v>4</v>
      </c>
      <c r="F184" s="912">
        <v>1</v>
      </c>
      <c r="G184" s="912"/>
      <c r="H184" s="912">
        <v>1.35</v>
      </c>
      <c r="I184" s="912">
        <f>ROUND(PRODUCT(C184:H184),2)</f>
        <v>-5.4</v>
      </c>
      <c r="K184" s="930"/>
    </row>
    <row r="185" spans="1:11" s="915" customFormat="1" ht="29.25" customHeight="1">
      <c r="A185" s="1025"/>
      <c r="B185" s="913" t="s">
        <v>6553</v>
      </c>
      <c r="C185" s="952">
        <v>1</v>
      </c>
      <c r="D185" s="911" t="s">
        <v>6383</v>
      </c>
      <c r="E185" s="952">
        <v>4</v>
      </c>
      <c r="F185" s="912">
        <v>4.7</v>
      </c>
      <c r="G185" s="912">
        <v>0.1</v>
      </c>
      <c r="H185" s="912"/>
      <c r="I185" s="912">
        <f>ROUND(PRODUCT(C185:H185),2)</f>
        <v>1.88</v>
      </c>
      <c r="K185" s="930"/>
    </row>
    <row r="186" spans="1:11" s="915" customFormat="1" ht="29.25" customHeight="1">
      <c r="A186" s="1025"/>
      <c r="B186" s="913" t="s">
        <v>6419</v>
      </c>
      <c r="C186" s="952">
        <v>-1</v>
      </c>
      <c r="D186" s="911" t="s">
        <v>6383</v>
      </c>
      <c r="E186" s="952">
        <v>5</v>
      </c>
      <c r="F186" s="912">
        <v>1.1000000000000001</v>
      </c>
      <c r="G186" s="912"/>
      <c r="H186" s="912">
        <v>0.6</v>
      </c>
      <c r="I186" s="912">
        <f t="shared" si="11"/>
        <v>-3.3</v>
      </c>
      <c r="K186" s="930"/>
    </row>
    <row r="187" spans="1:11" s="915" customFormat="1" ht="29.25" customHeight="1">
      <c r="A187" s="1025"/>
      <c r="B187" s="913" t="s">
        <v>6527</v>
      </c>
      <c r="C187" s="952">
        <v>1</v>
      </c>
      <c r="D187" s="911" t="s">
        <v>6383</v>
      </c>
      <c r="E187" s="952">
        <v>1</v>
      </c>
      <c r="F187" s="912">
        <v>30.8</v>
      </c>
      <c r="G187" s="912"/>
      <c r="H187" s="912">
        <v>0.55000000000000004</v>
      </c>
      <c r="I187" s="912">
        <f t="shared" si="11"/>
        <v>16.940000000000001</v>
      </c>
      <c r="K187" s="930"/>
    </row>
    <row r="188" spans="1:11" s="915" customFormat="1">
      <c r="A188" s="1026"/>
      <c r="B188" s="913" t="s">
        <v>6421</v>
      </c>
      <c r="C188" s="952">
        <v>2</v>
      </c>
      <c r="D188" s="911" t="s">
        <v>6383</v>
      </c>
      <c r="E188" s="952">
        <v>2</v>
      </c>
      <c r="F188" s="912">
        <v>1.96</v>
      </c>
      <c r="G188" s="912">
        <v>0.6</v>
      </c>
      <c r="H188" s="912"/>
      <c r="I188" s="912">
        <f>ROUND(PRODUCT(C188:H188),2)</f>
        <v>4.7</v>
      </c>
    </row>
    <row r="189" spans="1:11" s="915" customFormat="1">
      <c r="A189" s="1026"/>
      <c r="B189" s="913" t="s">
        <v>6554</v>
      </c>
      <c r="C189" s="952">
        <v>2</v>
      </c>
      <c r="D189" s="911" t="s">
        <v>6383</v>
      </c>
      <c r="E189" s="952">
        <v>2</v>
      </c>
      <c r="F189" s="912">
        <v>1.96</v>
      </c>
      <c r="G189" s="912">
        <v>0.6</v>
      </c>
      <c r="H189" s="912"/>
      <c r="I189" s="912">
        <f t="shared" ref="I189:I191" si="12">ROUND(PRODUCT(C189:H189),2)</f>
        <v>4.7</v>
      </c>
    </row>
    <row r="190" spans="1:11" s="915" customFormat="1">
      <c r="A190" s="1026"/>
      <c r="B190" s="913" t="s">
        <v>6422</v>
      </c>
      <c r="C190" s="952">
        <v>2</v>
      </c>
      <c r="D190" s="911" t="s">
        <v>6383</v>
      </c>
      <c r="E190" s="952">
        <v>4</v>
      </c>
      <c r="F190" s="912">
        <v>1.5</v>
      </c>
      <c r="G190" s="912">
        <v>0.6</v>
      </c>
      <c r="H190" s="912"/>
      <c r="I190" s="912">
        <f t="shared" si="12"/>
        <v>7.2</v>
      </c>
    </row>
    <row r="191" spans="1:11" s="915" customFormat="1">
      <c r="A191" s="1026"/>
      <c r="B191" s="913" t="s">
        <v>6555</v>
      </c>
      <c r="C191" s="952">
        <v>2</v>
      </c>
      <c r="D191" s="911" t="s">
        <v>6383</v>
      </c>
      <c r="E191" s="952">
        <v>2</v>
      </c>
      <c r="F191" s="912">
        <v>0.6</v>
      </c>
      <c r="G191" s="912"/>
      <c r="H191" s="912">
        <v>0.45</v>
      </c>
      <c r="I191" s="912">
        <f t="shared" si="12"/>
        <v>1.08</v>
      </c>
    </row>
    <row r="192" spans="1:11" s="915" customFormat="1">
      <c r="A192" s="1026"/>
      <c r="B192" s="910" t="s">
        <v>6556</v>
      </c>
      <c r="C192" s="952">
        <v>4</v>
      </c>
      <c r="D192" s="911" t="s">
        <v>6383</v>
      </c>
      <c r="E192" s="952">
        <v>1</v>
      </c>
      <c r="F192" s="912">
        <v>1.2</v>
      </c>
      <c r="G192" s="912"/>
      <c r="H192" s="912">
        <v>3.2</v>
      </c>
      <c r="I192" s="912">
        <f t="shared" si="11"/>
        <v>15.36</v>
      </c>
    </row>
    <row r="193" spans="1:11" s="915" customFormat="1">
      <c r="A193" s="1026"/>
      <c r="B193" s="910" t="s">
        <v>6588</v>
      </c>
      <c r="C193" s="952">
        <v>-1</v>
      </c>
      <c r="D193" s="911" t="s">
        <v>6383</v>
      </c>
      <c r="E193" s="952">
        <v>1</v>
      </c>
      <c r="F193" s="912">
        <f>H297</f>
        <v>178.8</v>
      </c>
      <c r="G193" s="912"/>
      <c r="H193" s="912"/>
      <c r="I193" s="912">
        <f t="shared" si="11"/>
        <v>-178.8</v>
      </c>
    </row>
    <row r="194" spans="1:11" s="915" customFormat="1">
      <c r="A194" s="1026"/>
      <c r="B194" s="920"/>
      <c r="C194" s="950"/>
      <c r="D194" s="923"/>
      <c r="E194" s="1018" t="s">
        <v>2245</v>
      </c>
      <c r="F194" s="1018"/>
      <c r="G194" s="1018"/>
      <c r="H194" s="924">
        <f>SUM(I178:I193)</f>
        <v>159.43</v>
      </c>
      <c r="I194" s="925" t="s">
        <v>2283</v>
      </c>
      <c r="J194" s="915">
        <f>13095</f>
        <v>13095</v>
      </c>
      <c r="K194" s="930"/>
    </row>
    <row r="195" spans="1:11" s="915" customFormat="1" ht="21.75" customHeight="1">
      <c r="A195" s="1024">
        <f>A177+1</f>
        <v>20</v>
      </c>
      <c r="B195" s="1020" t="s">
        <v>6403</v>
      </c>
      <c r="C195" s="1020"/>
      <c r="D195" s="1020"/>
      <c r="E195" s="1020"/>
      <c r="F195" s="1020"/>
      <c r="G195" s="1020"/>
      <c r="H195" s="1020"/>
      <c r="I195" s="1020"/>
      <c r="K195" s="930"/>
    </row>
    <row r="196" spans="1:11" s="915" customFormat="1" ht="21.75" customHeight="1">
      <c r="A196" s="1024"/>
      <c r="B196" s="910" t="s">
        <v>6386</v>
      </c>
      <c r="C196" s="952">
        <v>1</v>
      </c>
      <c r="D196" s="911" t="s">
        <v>6383</v>
      </c>
      <c r="E196" s="952">
        <v>1</v>
      </c>
      <c r="F196" s="912">
        <v>3.1</v>
      </c>
      <c r="G196" s="912">
        <v>3.35</v>
      </c>
      <c r="H196" s="912"/>
      <c r="I196" s="912">
        <f t="shared" ref="I196:I214" si="13">ROUND(PRODUCT(C196:H196),2)</f>
        <v>10.39</v>
      </c>
      <c r="K196" s="930"/>
    </row>
    <row r="197" spans="1:11" s="915" customFormat="1" ht="21.75" customHeight="1">
      <c r="A197" s="1024"/>
      <c r="B197" s="910" t="s">
        <v>6406</v>
      </c>
      <c r="C197" s="952">
        <v>1</v>
      </c>
      <c r="D197" s="911" t="s">
        <v>6383</v>
      </c>
      <c r="E197" s="952">
        <v>1</v>
      </c>
      <c r="F197" s="912">
        <v>3.1</v>
      </c>
      <c r="G197" s="912">
        <v>5.45</v>
      </c>
      <c r="H197" s="912"/>
      <c r="I197" s="912">
        <f t="shared" si="13"/>
        <v>16.899999999999999</v>
      </c>
      <c r="K197" s="930"/>
    </row>
    <row r="198" spans="1:11" s="915" customFormat="1" ht="21.75" customHeight="1">
      <c r="A198" s="1024"/>
      <c r="B198" s="910" t="s">
        <v>6407</v>
      </c>
      <c r="C198" s="952">
        <v>1</v>
      </c>
      <c r="D198" s="911" t="s">
        <v>6383</v>
      </c>
      <c r="E198" s="952">
        <v>1</v>
      </c>
      <c r="F198" s="912">
        <v>2.2999999999999998</v>
      </c>
      <c r="G198" s="912">
        <v>5.6</v>
      </c>
      <c r="H198" s="912"/>
      <c r="I198" s="912">
        <f t="shared" si="13"/>
        <v>12.88</v>
      </c>
      <c r="K198" s="930"/>
    </row>
    <row r="199" spans="1:11" s="915" customFormat="1" ht="21.75" customHeight="1">
      <c r="A199" s="1024"/>
      <c r="B199" s="913" t="s">
        <v>6528</v>
      </c>
      <c r="C199" s="952">
        <v>1</v>
      </c>
      <c r="D199" s="911" t="s">
        <v>6383</v>
      </c>
      <c r="E199" s="952">
        <v>1</v>
      </c>
      <c r="F199" s="912">
        <v>2</v>
      </c>
      <c r="G199" s="912">
        <v>3.6</v>
      </c>
      <c r="H199" s="912"/>
      <c r="I199" s="912">
        <f t="shared" si="13"/>
        <v>7.2</v>
      </c>
      <c r="K199" s="930"/>
    </row>
    <row r="200" spans="1:11" s="915" customFormat="1" ht="21.75" customHeight="1">
      <c r="A200" s="1024"/>
      <c r="B200" s="913" t="s">
        <v>6557</v>
      </c>
      <c r="C200" s="952">
        <v>1</v>
      </c>
      <c r="D200" s="911" t="s">
        <v>6383</v>
      </c>
      <c r="E200" s="952">
        <v>1</v>
      </c>
      <c r="F200" s="912">
        <v>2</v>
      </c>
      <c r="G200" s="912">
        <v>0.8</v>
      </c>
      <c r="H200" s="912"/>
      <c r="I200" s="912">
        <f t="shared" si="13"/>
        <v>1.6</v>
      </c>
      <c r="K200" s="930"/>
    </row>
    <row r="201" spans="1:11" s="915" customFormat="1" ht="21.75" customHeight="1">
      <c r="A201" s="1024"/>
      <c r="B201" s="910" t="s">
        <v>6387</v>
      </c>
      <c r="C201" s="952">
        <v>1</v>
      </c>
      <c r="D201" s="911" t="s">
        <v>6383</v>
      </c>
      <c r="E201" s="952">
        <v>1</v>
      </c>
      <c r="F201" s="912">
        <v>5</v>
      </c>
      <c r="G201" s="912">
        <v>3.6</v>
      </c>
      <c r="H201" s="912"/>
      <c r="I201" s="912">
        <f t="shared" si="13"/>
        <v>18</v>
      </c>
      <c r="K201" s="930"/>
    </row>
    <row r="202" spans="1:11" s="915" customFormat="1" ht="21.75" customHeight="1">
      <c r="A202" s="1024"/>
      <c r="B202" s="913" t="s">
        <v>6529</v>
      </c>
      <c r="C202" s="952">
        <v>1</v>
      </c>
      <c r="D202" s="911" t="s">
        <v>6383</v>
      </c>
      <c r="E202" s="952">
        <v>1</v>
      </c>
      <c r="F202" s="912">
        <v>0.9</v>
      </c>
      <c r="G202" s="912">
        <v>2.2200000000000002</v>
      </c>
      <c r="H202" s="912"/>
      <c r="I202" s="912">
        <f t="shared" si="13"/>
        <v>2</v>
      </c>
      <c r="K202" s="930"/>
    </row>
    <row r="203" spans="1:11" s="915" customFormat="1" ht="21.75" customHeight="1">
      <c r="A203" s="1024"/>
      <c r="B203" s="910" t="s">
        <v>6530</v>
      </c>
      <c r="C203" s="952">
        <v>1</v>
      </c>
      <c r="D203" s="911" t="s">
        <v>6383</v>
      </c>
      <c r="E203" s="952">
        <v>1</v>
      </c>
      <c r="F203" s="912">
        <v>3</v>
      </c>
      <c r="G203" s="912">
        <v>2.5</v>
      </c>
      <c r="H203" s="912"/>
      <c r="I203" s="912">
        <f t="shared" si="13"/>
        <v>7.5</v>
      </c>
      <c r="K203" s="930"/>
    </row>
    <row r="204" spans="1:11" s="915" customFormat="1" ht="21.75" customHeight="1">
      <c r="A204" s="1024"/>
      <c r="B204" s="913" t="s">
        <v>6408</v>
      </c>
      <c r="C204" s="952">
        <v>1</v>
      </c>
      <c r="D204" s="911" t="s">
        <v>6383</v>
      </c>
      <c r="E204" s="952">
        <v>1</v>
      </c>
      <c r="F204" s="912">
        <v>3</v>
      </c>
      <c r="G204" s="912">
        <v>3</v>
      </c>
      <c r="H204" s="912"/>
      <c r="I204" s="912">
        <f t="shared" si="13"/>
        <v>9</v>
      </c>
      <c r="K204" s="930"/>
    </row>
    <row r="205" spans="1:11" s="915" customFormat="1" ht="21.75" customHeight="1">
      <c r="A205" s="1024"/>
      <c r="B205" s="913" t="s">
        <v>6409</v>
      </c>
      <c r="C205" s="952">
        <v>1</v>
      </c>
      <c r="D205" s="911" t="s">
        <v>6383</v>
      </c>
      <c r="E205" s="952">
        <v>1</v>
      </c>
      <c r="F205" s="912">
        <v>1.45</v>
      </c>
      <c r="G205" s="912">
        <v>1.6</v>
      </c>
      <c r="H205" s="912"/>
      <c r="I205" s="912">
        <f t="shared" si="13"/>
        <v>2.3199999999999998</v>
      </c>
      <c r="K205" s="930"/>
    </row>
    <row r="206" spans="1:11" s="915" customFormat="1" ht="21.75" customHeight="1">
      <c r="A206" s="1024"/>
      <c r="B206" s="910" t="s">
        <v>6410</v>
      </c>
      <c r="C206" s="952">
        <v>1</v>
      </c>
      <c r="D206" s="911" t="s">
        <v>6383</v>
      </c>
      <c r="E206" s="952">
        <v>1</v>
      </c>
      <c r="F206" s="912">
        <v>3</v>
      </c>
      <c r="G206" s="912">
        <v>3.35</v>
      </c>
      <c r="H206" s="912"/>
      <c r="I206" s="912">
        <f t="shared" si="13"/>
        <v>10.050000000000001</v>
      </c>
      <c r="K206" s="930"/>
    </row>
    <row r="207" spans="1:11" s="915" customFormat="1" ht="21.75" customHeight="1">
      <c r="A207" s="1024"/>
      <c r="B207" s="913" t="s">
        <v>6409</v>
      </c>
      <c r="C207" s="952">
        <v>1</v>
      </c>
      <c r="D207" s="911" t="s">
        <v>6383</v>
      </c>
      <c r="E207" s="952">
        <v>1</v>
      </c>
      <c r="F207" s="912">
        <v>1.45</v>
      </c>
      <c r="G207" s="912">
        <v>1.6</v>
      </c>
      <c r="H207" s="912"/>
      <c r="I207" s="912">
        <f t="shared" si="13"/>
        <v>2.3199999999999998</v>
      </c>
      <c r="K207" s="930"/>
    </row>
    <row r="208" spans="1:11" s="915" customFormat="1" ht="21.75" customHeight="1">
      <c r="A208" s="1024"/>
      <c r="B208" s="910" t="s">
        <v>6411</v>
      </c>
      <c r="C208" s="952">
        <v>1</v>
      </c>
      <c r="D208" s="911" t="s">
        <v>6383</v>
      </c>
      <c r="E208" s="952">
        <v>1</v>
      </c>
      <c r="F208" s="912">
        <v>5.95</v>
      </c>
      <c r="G208" s="912">
        <v>3.35</v>
      </c>
      <c r="H208" s="912"/>
      <c r="I208" s="912">
        <f t="shared" si="13"/>
        <v>19.93</v>
      </c>
      <c r="K208" s="930"/>
    </row>
    <row r="209" spans="1:11" s="915" customFormat="1" ht="21.75" customHeight="1">
      <c r="A209" s="1024"/>
      <c r="B209" s="913" t="s">
        <v>6390</v>
      </c>
      <c r="C209" s="952">
        <v>1</v>
      </c>
      <c r="D209" s="911" t="s">
        <v>6383</v>
      </c>
      <c r="E209" s="952">
        <v>1</v>
      </c>
      <c r="F209" s="912">
        <v>5.95</v>
      </c>
      <c r="G209" s="912">
        <v>7</v>
      </c>
      <c r="H209" s="912"/>
      <c r="I209" s="912">
        <f t="shared" si="13"/>
        <v>41.65</v>
      </c>
      <c r="K209" s="930"/>
    </row>
    <row r="210" spans="1:11" s="915" customFormat="1">
      <c r="A210" s="1019"/>
      <c r="B210" s="913" t="s">
        <v>6558</v>
      </c>
      <c r="C210" s="952">
        <v>2</v>
      </c>
      <c r="D210" s="911" t="s">
        <v>6383</v>
      </c>
      <c r="E210" s="952">
        <v>2</v>
      </c>
      <c r="F210" s="912">
        <v>5.95</v>
      </c>
      <c r="G210" s="912"/>
      <c r="H210" s="912">
        <v>0.4</v>
      </c>
      <c r="I210" s="912">
        <f t="shared" si="13"/>
        <v>9.52</v>
      </c>
    </row>
    <row r="211" spans="1:11" s="915" customFormat="1">
      <c r="A211" s="1019"/>
      <c r="B211" s="910" t="s">
        <v>6412</v>
      </c>
      <c r="C211" s="952">
        <v>1</v>
      </c>
      <c r="D211" s="911" t="s">
        <v>6383</v>
      </c>
      <c r="E211" s="952">
        <v>1</v>
      </c>
      <c r="F211" s="912">
        <v>5.95</v>
      </c>
      <c r="G211" s="912">
        <v>2</v>
      </c>
      <c r="H211" s="912"/>
      <c r="I211" s="912">
        <f t="shared" si="13"/>
        <v>11.9</v>
      </c>
    </row>
    <row r="212" spans="1:11" s="915" customFormat="1">
      <c r="A212" s="1019"/>
      <c r="B212" s="910" t="s">
        <v>6559</v>
      </c>
      <c r="C212" s="952">
        <v>1</v>
      </c>
      <c r="D212" s="911" t="s">
        <v>6383</v>
      </c>
      <c r="E212" s="952">
        <v>1</v>
      </c>
      <c r="F212" s="912">
        <v>27.58</v>
      </c>
      <c r="G212" s="912">
        <v>0.6</v>
      </c>
      <c r="H212" s="912"/>
      <c r="I212" s="912">
        <f t="shared" si="13"/>
        <v>16.55</v>
      </c>
    </row>
    <row r="213" spans="1:11" s="915" customFormat="1">
      <c r="A213" s="1019"/>
      <c r="B213" s="910" t="s">
        <v>6394</v>
      </c>
      <c r="C213" s="952"/>
      <c r="D213" s="911"/>
      <c r="E213" s="952"/>
      <c r="F213" s="912"/>
      <c r="G213" s="912"/>
      <c r="H213" s="912"/>
      <c r="I213" s="912">
        <v>0.06</v>
      </c>
    </row>
    <row r="214" spans="1:11" s="915" customFormat="1">
      <c r="A214" s="1019"/>
      <c r="B214" s="910" t="s">
        <v>6594</v>
      </c>
      <c r="C214" s="952">
        <v>-1</v>
      </c>
      <c r="D214" s="911" t="s">
        <v>6383</v>
      </c>
      <c r="E214" s="952">
        <v>1</v>
      </c>
      <c r="F214" s="912">
        <f>H307</f>
        <v>26.85</v>
      </c>
      <c r="G214" s="912"/>
      <c r="H214" s="912"/>
      <c r="I214" s="912">
        <f t="shared" si="13"/>
        <v>-26.85</v>
      </c>
    </row>
    <row r="215" spans="1:11" s="915" customFormat="1">
      <c r="A215" s="1019"/>
      <c r="B215" s="920"/>
      <c r="C215" s="950"/>
      <c r="D215" s="923"/>
      <c r="E215" s="1018" t="s">
        <v>2245</v>
      </c>
      <c r="F215" s="1018"/>
      <c r="G215" s="1018"/>
      <c r="H215" s="924">
        <f>SUM(I196:I214)</f>
        <v>172.92</v>
      </c>
      <c r="I215" s="925" t="s">
        <v>2283</v>
      </c>
      <c r="J215" s="930" t="e">
        <f>[8]M.Vinayagar!#REF!</f>
        <v>#REF!</v>
      </c>
      <c r="K215" s="930"/>
    </row>
    <row r="216" spans="1:11" s="915" customFormat="1" ht="25.5" customHeight="1">
      <c r="A216" s="1025">
        <f>A195+1</f>
        <v>21</v>
      </c>
      <c r="B216" s="1020" t="str">
        <f>'[6]Thandrampattu Abstruct'!C67</f>
        <v>Painting the old wood work with one coat of approved first class synthetic enamel ready mixed paint.</v>
      </c>
      <c r="C216" s="1021"/>
      <c r="D216" s="1021"/>
      <c r="E216" s="1021"/>
      <c r="F216" s="1021"/>
      <c r="G216" s="1021"/>
      <c r="H216" s="1021"/>
      <c r="I216" s="1021"/>
      <c r="K216" s="931"/>
    </row>
    <row r="217" spans="1:11" s="915" customFormat="1" ht="25.5" customHeight="1">
      <c r="A217" s="1025"/>
      <c r="B217" s="910" t="s">
        <v>6560</v>
      </c>
      <c r="C217" s="952">
        <v>1</v>
      </c>
      <c r="D217" s="911" t="s">
        <v>6383</v>
      </c>
      <c r="E217" s="952">
        <v>6</v>
      </c>
      <c r="F217" s="912">
        <v>0.9</v>
      </c>
      <c r="G217" s="912">
        <v>2.6</v>
      </c>
      <c r="H217" s="912">
        <v>2.1</v>
      </c>
      <c r="I217" s="912">
        <f>ROUND(PRODUCT(C217:H217),2)</f>
        <v>29.48</v>
      </c>
      <c r="K217" s="931"/>
    </row>
    <row r="218" spans="1:11" s="915" customFormat="1" ht="25.5" customHeight="1">
      <c r="A218" s="1025"/>
      <c r="B218" s="910" t="s">
        <v>6561</v>
      </c>
      <c r="C218" s="952">
        <v>1</v>
      </c>
      <c r="D218" s="911" t="s">
        <v>6383</v>
      </c>
      <c r="E218" s="952">
        <v>2</v>
      </c>
      <c r="F218" s="912">
        <v>0.75</v>
      </c>
      <c r="G218" s="912">
        <v>2.6</v>
      </c>
      <c r="H218" s="912">
        <v>2.1</v>
      </c>
      <c r="I218" s="912">
        <f>ROUND(PRODUCT(C218:H218),2)</f>
        <v>8.19</v>
      </c>
      <c r="K218" s="931"/>
    </row>
    <row r="219" spans="1:11" s="915" customFormat="1" ht="25.5" customHeight="1">
      <c r="A219" s="1025"/>
      <c r="B219" s="910" t="s">
        <v>2522</v>
      </c>
      <c r="C219" s="952">
        <v>1</v>
      </c>
      <c r="D219" s="911" t="s">
        <v>6383</v>
      </c>
      <c r="E219" s="952">
        <v>11</v>
      </c>
      <c r="F219" s="912">
        <v>0.9</v>
      </c>
      <c r="G219" s="912">
        <v>2.6</v>
      </c>
      <c r="H219" s="912">
        <v>0.6</v>
      </c>
      <c r="I219" s="912">
        <f>ROUND(PRODUCT(C219:H219),2)</f>
        <v>15.44</v>
      </c>
      <c r="K219" s="931"/>
    </row>
    <row r="220" spans="1:11" s="915" customFormat="1" ht="25.5" customHeight="1">
      <c r="A220" s="1025"/>
      <c r="B220" s="910" t="s">
        <v>6562</v>
      </c>
      <c r="C220" s="952">
        <v>1</v>
      </c>
      <c r="D220" s="911" t="s">
        <v>6383</v>
      </c>
      <c r="E220" s="952">
        <v>4</v>
      </c>
      <c r="F220" s="912">
        <v>1.5</v>
      </c>
      <c r="G220" s="912">
        <v>2.6</v>
      </c>
      <c r="H220" s="912">
        <v>1.35</v>
      </c>
      <c r="I220" s="912">
        <v>0.85</v>
      </c>
      <c r="K220" s="931"/>
    </row>
    <row r="221" spans="1:11" s="915" customFormat="1">
      <c r="A221" s="1026"/>
      <c r="B221" s="910" t="s">
        <v>6563</v>
      </c>
      <c r="C221" s="952">
        <v>1</v>
      </c>
      <c r="D221" s="911" t="s">
        <v>6383</v>
      </c>
      <c r="E221" s="952">
        <v>2</v>
      </c>
      <c r="F221" s="912">
        <v>1.5</v>
      </c>
      <c r="G221" s="912">
        <v>2.6</v>
      </c>
      <c r="H221" s="912">
        <v>1.35</v>
      </c>
      <c r="I221" s="912">
        <v>0.85</v>
      </c>
      <c r="K221" s="915">
        <f>2.6*2.1</f>
        <v>5.46</v>
      </c>
    </row>
    <row r="222" spans="1:11" s="915" customFormat="1">
      <c r="A222" s="1026"/>
      <c r="B222" s="920"/>
      <c r="C222" s="950"/>
      <c r="D222" s="923"/>
      <c r="E222" s="1018" t="s">
        <v>2245</v>
      </c>
      <c r="F222" s="1018"/>
      <c r="G222" s="1018"/>
      <c r="H222" s="924">
        <f>SUM(I217:I221)</f>
        <v>54.81</v>
      </c>
      <c r="I222" s="925" t="s">
        <v>2283</v>
      </c>
      <c r="J222" s="930" t="e">
        <f>[8]M.Vinayagar!#REF!</f>
        <v>#REF!</v>
      </c>
      <c r="K222" s="930"/>
    </row>
    <row r="223" spans="1:11" s="915" customFormat="1" ht="30" customHeight="1">
      <c r="A223" s="1022">
        <f>A216+1</f>
        <v>22</v>
      </c>
      <c r="B223" s="1020" t="str">
        <f>'[6]Thandrampattu Abstruct'!C68</f>
        <v>Painting the old iron work with one coat of approved first class synthetic enamel ready mixed paint.</v>
      </c>
      <c r="C223" s="1021"/>
      <c r="D223" s="1021"/>
      <c r="E223" s="1021"/>
      <c r="F223" s="1021"/>
      <c r="G223" s="1021"/>
      <c r="H223" s="1021"/>
      <c r="I223" s="1021"/>
      <c r="J223" s="930" t="e">
        <f>[8]M.Vinayagar!#REF!</f>
        <v>#REF!</v>
      </c>
    </row>
    <row r="224" spans="1:11" s="915" customFormat="1" ht="30" customHeight="1">
      <c r="A224" s="1022"/>
      <c r="B224" s="910" t="s">
        <v>6423</v>
      </c>
      <c r="C224" s="952">
        <v>1</v>
      </c>
      <c r="D224" s="911" t="s">
        <v>6383</v>
      </c>
      <c r="E224" s="952">
        <v>4</v>
      </c>
      <c r="F224" s="912">
        <v>1</v>
      </c>
      <c r="G224" s="912"/>
      <c r="H224" s="912">
        <v>2.1</v>
      </c>
      <c r="I224" s="912">
        <f t="shared" ref="I224:I230" si="14">ROUND(PRODUCT(C224:H224),2)</f>
        <v>8.4</v>
      </c>
      <c r="J224" s="930"/>
    </row>
    <row r="225" spans="1:11" s="915" customFormat="1" ht="30" customHeight="1">
      <c r="A225" s="1022"/>
      <c r="B225" s="910" t="s">
        <v>6424</v>
      </c>
      <c r="C225" s="952">
        <v>1</v>
      </c>
      <c r="D225" s="911" t="s">
        <v>6383</v>
      </c>
      <c r="E225" s="952">
        <v>1</v>
      </c>
      <c r="F225" s="912">
        <v>1.75</v>
      </c>
      <c r="G225" s="912"/>
      <c r="H225" s="912">
        <v>2.1</v>
      </c>
      <c r="I225" s="912">
        <f t="shared" si="14"/>
        <v>3.68</v>
      </c>
      <c r="J225" s="930"/>
    </row>
    <row r="226" spans="1:11" s="915" customFormat="1" ht="30" customHeight="1">
      <c r="A226" s="1022"/>
      <c r="B226" s="910" t="s">
        <v>6425</v>
      </c>
      <c r="C226" s="952">
        <v>1</v>
      </c>
      <c r="D226" s="911" t="s">
        <v>6383</v>
      </c>
      <c r="E226" s="952">
        <v>4</v>
      </c>
      <c r="F226" s="912">
        <v>1.5</v>
      </c>
      <c r="G226" s="912"/>
      <c r="H226" s="912">
        <v>1.35</v>
      </c>
      <c r="I226" s="912">
        <f t="shared" si="14"/>
        <v>8.1</v>
      </c>
      <c r="J226" s="930"/>
    </row>
    <row r="227" spans="1:11" s="915" customFormat="1" ht="30" customHeight="1">
      <c r="A227" s="1022"/>
      <c r="B227" s="910" t="s">
        <v>6425</v>
      </c>
      <c r="C227" s="952">
        <v>1</v>
      </c>
      <c r="D227" s="911" t="s">
        <v>6383</v>
      </c>
      <c r="E227" s="952">
        <v>2</v>
      </c>
      <c r="F227" s="912">
        <v>1.5</v>
      </c>
      <c r="G227" s="912"/>
      <c r="H227" s="912">
        <v>1.3</v>
      </c>
      <c r="I227" s="912">
        <f t="shared" si="14"/>
        <v>3.9</v>
      </c>
      <c r="J227" s="930"/>
    </row>
    <row r="228" spans="1:11" s="915" customFormat="1" ht="30" customHeight="1">
      <c r="A228" s="1022"/>
      <c r="B228" s="910" t="s">
        <v>6426</v>
      </c>
      <c r="C228" s="952">
        <v>1</v>
      </c>
      <c r="D228" s="911" t="s">
        <v>6383</v>
      </c>
      <c r="E228" s="952">
        <v>2</v>
      </c>
      <c r="F228" s="912">
        <v>0.9</v>
      </c>
      <c r="G228" s="912"/>
      <c r="H228" s="912">
        <v>0.6</v>
      </c>
      <c r="I228" s="912">
        <f t="shared" si="14"/>
        <v>1.08</v>
      </c>
      <c r="J228" s="930"/>
    </row>
    <row r="229" spans="1:11" s="915" customFormat="1" ht="30" customHeight="1">
      <c r="A229" s="1022"/>
      <c r="B229" s="910" t="s">
        <v>6426</v>
      </c>
      <c r="C229" s="952">
        <v>1</v>
      </c>
      <c r="D229" s="911" t="s">
        <v>6383</v>
      </c>
      <c r="E229" s="952">
        <v>5</v>
      </c>
      <c r="F229" s="912">
        <v>1.1000000000000001</v>
      </c>
      <c r="G229" s="912"/>
      <c r="H229" s="912">
        <v>0.6</v>
      </c>
      <c r="I229" s="912">
        <f t="shared" si="14"/>
        <v>3.3</v>
      </c>
      <c r="J229" s="930"/>
    </row>
    <row r="230" spans="1:11" s="915" customFormat="1" ht="16.5" customHeight="1">
      <c r="A230" s="1023"/>
      <c r="B230" s="910" t="s">
        <v>6564</v>
      </c>
      <c r="C230" s="952">
        <v>1</v>
      </c>
      <c r="D230" s="911" t="s">
        <v>6383</v>
      </c>
      <c r="E230" s="952">
        <v>1</v>
      </c>
      <c r="F230" s="912">
        <v>3.5</v>
      </c>
      <c r="G230" s="912">
        <v>1</v>
      </c>
      <c r="H230" s="912">
        <v>0.6</v>
      </c>
      <c r="I230" s="912">
        <f t="shared" si="14"/>
        <v>2.1</v>
      </c>
    </row>
    <row r="231" spans="1:11" s="915" customFormat="1">
      <c r="A231" s="1023"/>
      <c r="B231" s="920"/>
      <c r="C231" s="950"/>
      <c r="D231" s="923"/>
      <c r="E231" s="1018" t="s">
        <v>2245</v>
      </c>
      <c r="F231" s="1018"/>
      <c r="G231" s="1018"/>
      <c r="H231" s="924">
        <f>SUM(I224:I230)</f>
        <v>30.56</v>
      </c>
      <c r="I231" s="925" t="s">
        <v>2283</v>
      </c>
      <c r="K231" s="930"/>
    </row>
    <row r="232" spans="1:11" s="915" customFormat="1" ht="25.5" hidden="1" customHeight="1">
      <c r="A232" s="1019">
        <v>43</v>
      </c>
      <c r="B232" s="1020" t="e">
        <f>[8]M.Vinayagar!#REF!</f>
        <v>#REF!</v>
      </c>
      <c r="C232" s="1021"/>
      <c r="D232" s="1021"/>
      <c r="E232" s="1021"/>
      <c r="F232" s="1021"/>
      <c r="G232" s="1021"/>
      <c r="H232" s="1021"/>
      <c r="I232" s="1021"/>
      <c r="K232" s="930"/>
    </row>
    <row r="233" spans="1:11" s="915" customFormat="1" hidden="1">
      <c r="A233" s="1019"/>
      <c r="B233" s="920" t="s">
        <v>6478</v>
      </c>
      <c r="C233" s="951">
        <v>2</v>
      </c>
      <c r="D233" s="927" t="s">
        <v>6383</v>
      </c>
      <c r="E233" s="951">
        <v>20</v>
      </c>
      <c r="F233" s="928"/>
      <c r="G233" s="928"/>
      <c r="H233" s="928"/>
      <c r="I233" s="928">
        <f>ROUND(PRODUCT(C233:H233),2)</f>
        <v>40</v>
      </c>
    </row>
    <row r="234" spans="1:11" s="915" customFormat="1" hidden="1">
      <c r="A234" s="1019"/>
      <c r="B234" s="920" t="s">
        <v>6394</v>
      </c>
      <c r="C234" s="951"/>
      <c r="D234" s="927"/>
      <c r="E234" s="951"/>
      <c r="F234" s="928"/>
      <c r="G234" s="928"/>
      <c r="H234" s="928"/>
      <c r="I234" s="928"/>
      <c r="K234" s="930"/>
    </row>
    <row r="235" spans="1:11" s="915" customFormat="1" hidden="1">
      <c r="A235" s="1019"/>
      <c r="B235" s="920"/>
      <c r="C235" s="950"/>
      <c r="D235" s="923"/>
      <c r="E235" s="1018" t="s">
        <v>2245</v>
      </c>
      <c r="F235" s="1018"/>
      <c r="G235" s="1018"/>
      <c r="H235" s="924">
        <f>SUM(I233:I234)</f>
        <v>40</v>
      </c>
      <c r="I235" s="925" t="s">
        <v>1394</v>
      </c>
      <c r="K235" s="930"/>
    </row>
    <row r="236" spans="1:11" s="915" customFormat="1" ht="30.75" hidden="1" customHeight="1">
      <c r="A236" s="1019">
        <v>44</v>
      </c>
      <c r="B236" s="1020" t="e">
        <f>[8]M.Vinayagar!#REF!</f>
        <v>#REF!</v>
      </c>
      <c r="C236" s="1021"/>
      <c r="D236" s="1021"/>
      <c r="E236" s="1021"/>
      <c r="F236" s="1021"/>
      <c r="G236" s="1021"/>
      <c r="H236" s="1021"/>
      <c r="I236" s="1021"/>
      <c r="K236" s="930"/>
    </row>
    <row r="237" spans="1:11" s="915" customFormat="1" hidden="1">
      <c r="A237" s="1019"/>
      <c r="B237" s="920" t="s">
        <v>6479</v>
      </c>
      <c r="C237" s="951">
        <v>1</v>
      </c>
      <c r="D237" s="927" t="s">
        <v>6383</v>
      </c>
      <c r="E237" s="951">
        <v>5</v>
      </c>
      <c r="F237" s="940"/>
      <c r="G237" s="928"/>
      <c r="H237" s="928"/>
      <c r="I237" s="928">
        <f>ROUND(PRODUCT(C237:H237),2)</f>
        <v>5</v>
      </c>
    </row>
    <row r="238" spans="1:11" s="915" customFormat="1" hidden="1">
      <c r="A238" s="1019"/>
      <c r="B238" s="920" t="s">
        <v>6394</v>
      </c>
      <c r="C238" s="951"/>
      <c r="D238" s="927"/>
      <c r="E238" s="951"/>
      <c r="F238" s="928"/>
      <c r="G238" s="928"/>
      <c r="H238" s="928"/>
      <c r="I238" s="928"/>
      <c r="K238" s="930"/>
    </row>
    <row r="239" spans="1:11" s="915" customFormat="1" hidden="1">
      <c r="A239" s="1019"/>
      <c r="B239" s="920"/>
      <c r="C239" s="950"/>
      <c r="D239" s="923"/>
      <c r="E239" s="1018" t="s">
        <v>2245</v>
      </c>
      <c r="F239" s="1018"/>
      <c r="G239" s="1018"/>
      <c r="H239" s="924">
        <f>SUM(I237:I238)</f>
        <v>5</v>
      </c>
      <c r="I239" s="925" t="s">
        <v>1394</v>
      </c>
      <c r="K239" s="930"/>
    </row>
    <row r="240" spans="1:11" s="915" customFormat="1" ht="25.5" hidden="1" customHeight="1">
      <c r="A240" s="1019">
        <v>45</v>
      </c>
      <c r="B240" s="1020" t="s">
        <v>6427</v>
      </c>
      <c r="C240" s="1021"/>
      <c r="D240" s="1021"/>
      <c r="E240" s="1021"/>
      <c r="F240" s="1021"/>
      <c r="G240" s="1021"/>
      <c r="H240" s="1021"/>
      <c r="I240" s="1021"/>
      <c r="K240" s="930"/>
    </row>
    <row r="241" spans="1:11" s="915" customFormat="1" hidden="1">
      <c r="A241" s="1019"/>
      <c r="B241" s="920"/>
      <c r="C241" s="951">
        <v>1</v>
      </c>
      <c r="D241" s="927" t="s">
        <v>6383</v>
      </c>
      <c r="E241" s="951">
        <v>3</v>
      </c>
      <c r="F241" s="928">
        <v>4.5999999999999996</v>
      </c>
      <c r="G241" s="928">
        <v>2.5</v>
      </c>
      <c r="H241" s="928">
        <v>1.8</v>
      </c>
      <c r="I241" s="928">
        <f>ROUND(PRODUCT(C241:H241),2)</f>
        <v>62.1</v>
      </c>
    </row>
    <row r="242" spans="1:11" s="915" customFormat="1" hidden="1">
      <c r="A242" s="1019"/>
      <c r="B242" s="920" t="s">
        <v>6394</v>
      </c>
      <c r="C242" s="951"/>
      <c r="D242" s="927"/>
      <c r="E242" s="951"/>
      <c r="F242" s="928"/>
      <c r="G242" s="928"/>
      <c r="H242" s="928"/>
      <c r="I242" s="928"/>
      <c r="K242" s="930"/>
    </row>
    <row r="243" spans="1:11" s="915" customFormat="1" hidden="1">
      <c r="A243" s="1019"/>
      <c r="B243" s="920"/>
      <c r="C243" s="950"/>
      <c r="D243" s="923"/>
      <c r="E243" s="1018" t="s">
        <v>2245</v>
      </c>
      <c r="F243" s="1018"/>
      <c r="G243" s="1018"/>
      <c r="H243" s="924">
        <f>SUM(I240:I241)</f>
        <v>62.1</v>
      </c>
      <c r="I243" s="925" t="s">
        <v>2151</v>
      </c>
      <c r="J243" s="915">
        <v>160</v>
      </c>
      <c r="K243" s="930"/>
    </row>
    <row r="244" spans="1:11" s="915" customFormat="1" hidden="1">
      <c r="A244" s="1019"/>
      <c r="B244" s="920"/>
      <c r="C244" s="950"/>
      <c r="D244" s="923"/>
      <c r="E244" s="1018"/>
      <c r="F244" s="1018"/>
      <c r="G244" s="1018"/>
      <c r="H244" s="924" t="s">
        <v>6428</v>
      </c>
      <c r="I244" s="925"/>
      <c r="J244" s="915">
        <v>160</v>
      </c>
      <c r="K244" s="930"/>
    </row>
    <row r="245" spans="1:11" s="915" customFormat="1" hidden="1">
      <c r="A245" s="1019"/>
      <c r="B245" s="920"/>
      <c r="C245" s="950"/>
      <c r="D245" s="923"/>
      <c r="E245" s="1018" t="s">
        <v>4223</v>
      </c>
      <c r="F245" s="1018"/>
      <c r="G245" s="1018"/>
      <c r="H245" s="924">
        <v>21</v>
      </c>
      <c r="I245" s="925" t="s">
        <v>6374</v>
      </c>
      <c r="J245" s="915">
        <v>160</v>
      </c>
      <c r="K245" s="930"/>
    </row>
    <row r="246" spans="1:11" ht="57" customHeight="1">
      <c r="A246" s="941">
        <f>A223+1</f>
        <v>23</v>
      </c>
      <c r="B246" s="1017" t="s">
        <v>6480</v>
      </c>
      <c r="C246" s="1017"/>
      <c r="D246" s="1017"/>
      <c r="E246" s="1017"/>
      <c r="F246" s="1017"/>
      <c r="G246" s="1017"/>
      <c r="H246" s="1017"/>
      <c r="I246" s="1017"/>
    </row>
    <row r="247" spans="1:11" ht="24.95" customHeight="1">
      <c r="A247" s="941"/>
      <c r="B247" s="942" t="str">
        <f>B74</f>
        <v>Terrace</v>
      </c>
      <c r="C247" s="943">
        <f t="shared" ref="C247:I247" si="15">C74</f>
        <v>1</v>
      </c>
      <c r="D247" s="942" t="str">
        <f t="shared" si="15"/>
        <v>x</v>
      </c>
      <c r="E247" s="943">
        <f t="shared" si="15"/>
        <v>1</v>
      </c>
      <c r="F247" s="942">
        <f t="shared" si="15"/>
        <v>15.1</v>
      </c>
      <c r="G247" s="942">
        <f t="shared" si="15"/>
        <v>12.74</v>
      </c>
      <c r="H247" s="942">
        <f t="shared" si="15"/>
        <v>0</v>
      </c>
      <c r="I247" s="942">
        <f t="shared" si="15"/>
        <v>192.37</v>
      </c>
    </row>
    <row r="248" spans="1:11" ht="24.95" customHeight="1">
      <c r="A248" s="941"/>
      <c r="B248" s="942" t="str">
        <f t="shared" ref="B248:I248" si="16">B75</f>
        <v xml:space="preserve">Skirting </v>
      </c>
      <c r="C248" s="943">
        <f t="shared" si="16"/>
        <v>1</v>
      </c>
      <c r="D248" s="942" t="str">
        <f t="shared" si="16"/>
        <v>X</v>
      </c>
      <c r="E248" s="943">
        <f t="shared" si="16"/>
        <v>1</v>
      </c>
      <c r="F248" s="942">
        <f t="shared" si="16"/>
        <v>55.68</v>
      </c>
      <c r="G248" s="942">
        <f t="shared" si="16"/>
        <v>0</v>
      </c>
      <c r="H248" s="942">
        <f t="shared" si="16"/>
        <v>0.23</v>
      </c>
      <c r="I248" s="942">
        <f t="shared" si="16"/>
        <v>12.81</v>
      </c>
    </row>
    <row r="249" spans="1:11" ht="24.95" customHeight="1">
      <c r="A249" s="941"/>
      <c r="B249" s="942" t="str">
        <f t="shared" ref="B249:I249" si="17">B76</f>
        <v>Portico terrace</v>
      </c>
      <c r="C249" s="943">
        <f t="shared" si="17"/>
        <v>1</v>
      </c>
      <c r="D249" s="942" t="str">
        <f t="shared" si="17"/>
        <v>x</v>
      </c>
      <c r="E249" s="943">
        <f t="shared" si="17"/>
        <v>1</v>
      </c>
      <c r="F249" s="942">
        <f t="shared" si="17"/>
        <v>5.95</v>
      </c>
      <c r="G249" s="942">
        <f t="shared" si="17"/>
        <v>2</v>
      </c>
      <c r="H249" s="942">
        <f t="shared" si="17"/>
        <v>0</v>
      </c>
      <c r="I249" s="942">
        <f t="shared" si="17"/>
        <v>11.9</v>
      </c>
    </row>
    <row r="250" spans="1:11" ht="24.95" customHeight="1">
      <c r="A250" s="941"/>
      <c r="B250" s="942" t="str">
        <f t="shared" ref="B250:I250" si="18">B77</f>
        <v xml:space="preserve">Skirting </v>
      </c>
      <c r="C250" s="943">
        <f t="shared" si="18"/>
        <v>1</v>
      </c>
      <c r="D250" s="942" t="str">
        <f t="shared" si="18"/>
        <v>x</v>
      </c>
      <c r="E250" s="943">
        <f t="shared" si="18"/>
        <v>1</v>
      </c>
      <c r="F250" s="942">
        <f t="shared" si="18"/>
        <v>11.9</v>
      </c>
      <c r="G250" s="942">
        <f t="shared" si="18"/>
        <v>0</v>
      </c>
      <c r="H250" s="942">
        <f t="shared" si="18"/>
        <v>0.23</v>
      </c>
      <c r="I250" s="942">
        <f t="shared" si="18"/>
        <v>2.74</v>
      </c>
    </row>
    <row r="251" spans="1:11" ht="24.95" customHeight="1">
      <c r="A251" s="941"/>
      <c r="B251" s="942" t="str">
        <f t="shared" ref="B251:I251" si="19">B78</f>
        <v xml:space="preserve">High roof projection </v>
      </c>
      <c r="C251" s="943">
        <f t="shared" si="19"/>
        <v>1</v>
      </c>
      <c r="D251" s="942" t="str">
        <f t="shared" si="19"/>
        <v>x</v>
      </c>
      <c r="E251" s="943">
        <f t="shared" si="19"/>
        <v>1</v>
      </c>
      <c r="F251" s="942">
        <f t="shared" si="19"/>
        <v>35.1</v>
      </c>
      <c r="G251" s="942">
        <f t="shared" si="19"/>
        <v>0.6</v>
      </c>
      <c r="H251" s="942">
        <f t="shared" si="19"/>
        <v>0</v>
      </c>
      <c r="I251" s="942">
        <f t="shared" si="19"/>
        <v>21.06</v>
      </c>
    </row>
    <row r="252" spans="1:11" ht="24.95" customHeight="1">
      <c r="A252" s="941"/>
      <c r="B252" s="942" t="str">
        <f t="shared" ref="B252:I252" si="20">B79</f>
        <v xml:space="preserve">Skirting </v>
      </c>
      <c r="C252" s="943">
        <f t="shared" si="20"/>
        <v>1</v>
      </c>
      <c r="D252" s="942" t="str">
        <f t="shared" si="20"/>
        <v>x</v>
      </c>
      <c r="E252" s="943">
        <f t="shared" si="20"/>
        <v>1</v>
      </c>
      <c r="F252" s="942">
        <f t="shared" si="20"/>
        <v>35.1</v>
      </c>
      <c r="G252" s="942">
        <f t="shared" si="20"/>
        <v>0</v>
      </c>
      <c r="H252" s="942">
        <f t="shared" si="20"/>
        <v>0.23</v>
      </c>
      <c r="I252" s="942">
        <f t="shared" si="20"/>
        <v>8.07</v>
      </c>
    </row>
    <row r="253" spans="1:11" ht="24.95" customHeight="1">
      <c r="A253" s="941"/>
      <c r="B253" s="942" t="str">
        <f t="shared" ref="B253:I253" si="21">B80</f>
        <v xml:space="preserve">Skirting </v>
      </c>
      <c r="C253" s="943">
        <f t="shared" si="21"/>
        <v>1</v>
      </c>
      <c r="D253" s="942" t="str">
        <f t="shared" si="21"/>
        <v>x</v>
      </c>
      <c r="E253" s="943">
        <f t="shared" si="21"/>
        <v>1</v>
      </c>
      <c r="F253" s="942">
        <f t="shared" si="21"/>
        <v>12.82</v>
      </c>
      <c r="G253" s="942">
        <f t="shared" si="21"/>
        <v>0</v>
      </c>
      <c r="H253" s="942">
        <f t="shared" si="21"/>
        <v>0.23</v>
      </c>
      <c r="I253" s="942">
        <f t="shared" si="21"/>
        <v>2.95</v>
      </c>
    </row>
    <row r="254" spans="1:11" ht="24.95" customHeight="1">
      <c r="A254" s="941"/>
      <c r="B254" s="942" t="str">
        <f t="shared" ref="B254:I254" si="22">B81</f>
        <v xml:space="preserve">Skirting </v>
      </c>
      <c r="C254" s="943">
        <f t="shared" si="22"/>
        <v>1</v>
      </c>
      <c r="D254" s="942" t="str">
        <f t="shared" si="22"/>
        <v>x</v>
      </c>
      <c r="E254" s="943">
        <f t="shared" si="22"/>
        <v>1</v>
      </c>
      <c r="F254" s="942">
        <f t="shared" si="22"/>
        <v>21.72</v>
      </c>
      <c r="G254" s="942">
        <f t="shared" si="22"/>
        <v>0</v>
      </c>
      <c r="H254" s="942">
        <f t="shared" si="22"/>
        <v>0.23</v>
      </c>
      <c r="I254" s="942">
        <f t="shared" si="22"/>
        <v>5</v>
      </c>
    </row>
    <row r="255" spans="1:11" ht="24.95" customHeight="1">
      <c r="A255" s="941"/>
      <c r="B255" s="942" t="str">
        <f t="shared" ref="B255:I255" si="23">B82</f>
        <v>Beam</v>
      </c>
      <c r="C255" s="943"/>
      <c r="D255" s="942"/>
      <c r="E255" s="943">
        <f t="shared" si="23"/>
        <v>7</v>
      </c>
      <c r="F255" s="942">
        <f t="shared" si="23"/>
        <v>5.95</v>
      </c>
      <c r="G255" s="942">
        <f t="shared" si="23"/>
        <v>0</v>
      </c>
      <c r="H255" s="942">
        <f t="shared" si="23"/>
        <v>0.23</v>
      </c>
      <c r="I255" s="942">
        <f t="shared" si="23"/>
        <v>9.58</v>
      </c>
    </row>
    <row r="256" spans="1:11">
      <c r="A256" s="941"/>
      <c r="B256" s="936"/>
      <c r="C256" s="950"/>
      <c r="D256" s="923"/>
      <c r="E256" s="1018" t="s">
        <v>2245</v>
      </c>
      <c r="F256" s="1018"/>
      <c r="G256" s="1018"/>
      <c r="H256" s="924">
        <f>SUM(I247:I255)</f>
        <v>266.48</v>
      </c>
      <c r="I256" s="925" t="s">
        <v>233</v>
      </c>
    </row>
    <row r="257" spans="1:9">
      <c r="A257" s="941"/>
      <c r="B257" s="936"/>
      <c r="C257" s="937"/>
      <c r="D257" s="936"/>
      <c r="E257" s="937"/>
      <c r="F257" s="936"/>
      <c r="G257" s="936"/>
      <c r="H257" s="936"/>
      <c r="I257" s="936"/>
    </row>
    <row r="258" spans="1:9" ht="90" customHeight="1">
      <c r="A258" s="944">
        <f>A246+1</f>
        <v>24</v>
      </c>
      <c r="B258" s="1034" t="s">
        <v>6441</v>
      </c>
      <c r="C258" s="1034"/>
      <c r="D258" s="1034"/>
      <c r="E258" s="1034"/>
      <c r="F258" s="1034"/>
      <c r="G258" s="1034"/>
      <c r="H258" s="1034"/>
      <c r="I258" s="1034"/>
    </row>
    <row r="259" spans="1:9">
      <c r="A259" s="941"/>
      <c r="B259" s="936" t="str">
        <f t="shared" ref="B259:G259" si="24">B74</f>
        <v>Terrace</v>
      </c>
      <c r="C259" s="937">
        <f t="shared" si="24"/>
        <v>1</v>
      </c>
      <c r="D259" s="936" t="str">
        <f t="shared" si="24"/>
        <v>x</v>
      </c>
      <c r="E259" s="937">
        <f t="shared" si="24"/>
        <v>1</v>
      </c>
      <c r="F259" s="936">
        <f t="shared" si="24"/>
        <v>15.1</v>
      </c>
      <c r="G259" s="936">
        <f t="shared" si="24"/>
        <v>12.74</v>
      </c>
      <c r="H259" s="936">
        <v>0.08</v>
      </c>
      <c r="I259" s="928">
        <f t="shared" ref="I259:I267" si="25">ROUND(PRODUCT(C259:H259),2)</f>
        <v>15.39</v>
      </c>
    </row>
    <row r="260" spans="1:9">
      <c r="A260" s="941"/>
      <c r="B260" s="936" t="str">
        <f t="shared" ref="B260:F267" si="26">B75</f>
        <v xml:space="preserve">Skirting </v>
      </c>
      <c r="C260" s="937">
        <f t="shared" si="26"/>
        <v>1</v>
      </c>
      <c r="D260" s="936" t="str">
        <f t="shared" si="26"/>
        <v>X</v>
      </c>
      <c r="E260" s="937">
        <f t="shared" si="26"/>
        <v>1</v>
      </c>
      <c r="F260" s="936">
        <f t="shared" si="26"/>
        <v>55.68</v>
      </c>
      <c r="G260" s="936">
        <v>0.23</v>
      </c>
      <c r="H260" s="936">
        <v>0.08</v>
      </c>
      <c r="I260" s="928">
        <f t="shared" si="25"/>
        <v>1.02</v>
      </c>
    </row>
    <row r="261" spans="1:9">
      <c r="A261" s="941"/>
      <c r="B261" s="936" t="str">
        <f t="shared" si="26"/>
        <v>Portico terrace</v>
      </c>
      <c r="C261" s="937">
        <f t="shared" si="26"/>
        <v>1</v>
      </c>
      <c r="D261" s="936" t="str">
        <f t="shared" si="26"/>
        <v>x</v>
      </c>
      <c r="E261" s="937">
        <f t="shared" si="26"/>
        <v>1</v>
      </c>
      <c r="F261" s="936">
        <f t="shared" si="26"/>
        <v>5.95</v>
      </c>
      <c r="G261" s="936">
        <f>G76</f>
        <v>2</v>
      </c>
      <c r="H261" s="936">
        <v>0.08</v>
      </c>
      <c r="I261" s="928">
        <f t="shared" si="25"/>
        <v>0.95</v>
      </c>
    </row>
    <row r="262" spans="1:9">
      <c r="A262" s="941"/>
      <c r="B262" s="936" t="str">
        <f t="shared" si="26"/>
        <v xml:space="preserve">Skirting </v>
      </c>
      <c r="C262" s="937">
        <f t="shared" si="26"/>
        <v>1</v>
      </c>
      <c r="D262" s="936" t="str">
        <f t="shared" si="26"/>
        <v>x</v>
      </c>
      <c r="E262" s="937">
        <f t="shared" si="26"/>
        <v>1</v>
      </c>
      <c r="F262" s="936">
        <f t="shared" si="26"/>
        <v>11.9</v>
      </c>
      <c r="G262" s="936">
        <v>0.2</v>
      </c>
      <c r="H262" s="936">
        <v>0.08</v>
      </c>
      <c r="I262" s="928">
        <f t="shared" si="25"/>
        <v>0.19</v>
      </c>
    </row>
    <row r="263" spans="1:9">
      <c r="A263" s="941"/>
      <c r="B263" s="936" t="str">
        <f t="shared" si="26"/>
        <v xml:space="preserve">High roof projection </v>
      </c>
      <c r="C263" s="937">
        <f t="shared" si="26"/>
        <v>1</v>
      </c>
      <c r="D263" s="936" t="str">
        <f t="shared" si="26"/>
        <v>x</v>
      </c>
      <c r="E263" s="937">
        <f t="shared" si="26"/>
        <v>1</v>
      </c>
      <c r="F263" s="936">
        <f t="shared" si="26"/>
        <v>35.1</v>
      </c>
      <c r="G263" s="936">
        <f>G78</f>
        <v>0.6</v>
      </c>
      <c r="H263" s="936">
        <v>0.08</v>
      </c>
      <c r="I263" s="928">
        <f t="shared" si="25"/>
        <v>1.68</v>
      </c>
    </row>
    <row r="264" spans="1:9">
      <c r="A264" s="941"/>
      <c r="B264" s="936" t="str">
        <f t="shared" si="26"/>
        <v xml:space="preserve">Skirting </v>
      </c>
      <c r="C264" s="937">
        <f t="shared" si="26"/>
        <v>1</v>
      </c>
      <c r="D264" s="936" t="str">
        <f t="shared" si="26"/>
        <v>x</v>
      </c>
      <c r="E264" s="937">
        <f t="shared" si="26"/>
        <v>1</v>
      </c>
      <c r="F264" s="936">
        <f t="shared" si="26"/>
        <v>35.1</v>
      </c>
      <c r="G264" s="936">
        <v>0.23</v>
      </c>
      <c r="H264" s="936">
        <v>0.08</v>
      </c>
      <c r="I264" s="928">
        <f t="shared" si="25"/>
        <v>0.65</v>
      </c>
    </row>
    <row r="265" spans="1:9">
      <c r="A265" s="941"/>
      <c r="B265" s="936" t="str">
        <f t="shared" si="26"/>
        <v xml:space="preserve">Skirting </v>
      </c>
      <c r="C265" s="937">
        <f t="shared" si="26"/>
        <v>1</v>
      </c>
      <c r="D265" s="936" t="str">
        <f t="shared" si="26"/>
        <v>x</v>
      </c>
      <c r="E265" s="937">
        <f t="shared" si="26"/>
        <v>1</v>
      </c>
      <c r="F265" s="936">
        <f t="shared" si="26"/>
        <v>12.82</v>
      </c>
      <c r="G265" s="936">
        <v>0.23</v>
      </c>
      <c r="H265" s="936">
        <v>0.08</v>
      </c>
      <c r="I265" s="928">
        <f t="shared" si="25"/>
        <v>0.24</v>
      </c>
    </row>
    <row r="266" spans="1:9">
      <c r="A266" s="941"/>
      <c r="B266" s="936" t="str">
        <f t="shared" si="26"/>
        <v xml:space="preserve">Skirting </v>
      </c>
      <c r="C266" s="937">
        <f t="shared" si="26"/>
        <v>1</v>
      </c>
      <c r="D266" s="936" t="str">
        <f t="shared" si="26"/>
        <v>x</v>
      </c>
      <c r="E266" s="937">
        <f t="shared" si="26"/>
        <v>1</v>
      </c>
      <c r="F266" s="936">
        <f t="shared" si="26"/>
        <v>21.72</v>
      </c>
      <c r="G266" s="936">
        <v>0.23</v>
      </c>
      <c r="H266" s="936">
        <v>0.08</v>
      </c>
      <c r="I266" s="928">
        <f t="shared" si="25"/>
        <v>0.4</v>
      </c>
    </row>
    <row r="267" spans="1:9">
      <c r="A267" s="941"/>
      <c r="B267" s="936" t="str">
        <f t="shared" si="26"/>
        <v>Beam</v>
      </c>
      <c r="C267" s="937">
        <f t="shared" si="26"/>
        <v>1</v>
      </c>
      <c r="D267" s="936" t="str">
        <f t="shared" si="26"/>
        <v>x</v>
      </c>
      <c r="E267" s="937">
        <f t="shared" si="26"/>
        <v>7</v>
      </c>
      <c r="F267" s="936">
        <f t="shared" si="26"/>
        <v>5.95</v>
      </c>
      <c r="G267" s="936">
        <v>0.23</v>
      </c>
      <c r="H267" s="936">
        <v>0.08</v>
      </c>
      <c r="I267" s="928">
        <f t="shared" si="25"/>
        <v>0.77</v>
      </c>
    </row>
    <row r="268" spans="1:9">
      <c r="A268" s="941"/>
      <c r="B268" s="936"/>
      <c r="C268" s="937"/>
      <c r="D268" s="936"/>
      <c r="E268" s="937" t="str">
        <f>E83</f>
        <v>Total</v>
      </c>
      <c r="F268" s="936"/>
      <c r="G268" s="936"/>
      <c r="H268" s="924">
        <f>SUM(I259:I267)</f>
        <v>21.29</v>
      </c>
      <c r="I268" s="936">
        <f>I83</f>
        <v>0</v>
      </c>
    </row>
    <row r="269" spans="1:9">
      <c r="A269" s="941"/>
      <c r="B269" s="936"/>
      <c r="C269" s="937"/>
      <c r="D269" s="936"/>
      <c r="E269" s="1018" t="s">
        <v>6570</v>
      </c>
      <c r="F269" s="1018"/>
      <c r="G269" s="1018"/>
      <c r="H269" s="924">
        <f>H268*60%</f>
        <v>12.77</v>
      </c>
      <c r="I269" s="925" t="s">
        <v>2151</v>
      </c>
    </row>
    <row r="270" spans="1:9" ht="44.25" customHeight="1">
      <c r="A270" s="941">
        <f>A258+1</f>
        <v>25</v>
      </c>
      <c r="B270" s="1034" t="s">
        <v>6574</v>
      </c>
      <c r="C270" s="1034"/>
      <c r="D270" s="1034"/>
      <c r="E270" s="1034"/>
      <c r="F270" s="1034"/>
      <c r="G270" s="1034"/>
      <c r="H270" s="1034"/>
      <c r="I270" s="1034"/>
    </row>
    <row r="271" spans="1:9" ht="17.25" customHeight="1">
      <c r="A271" s="941"/>
      <c r="B271" s="947"/>
      <c r="C271" s="953"/>
      <c r="D271" s="947"/>
      <c r="E271" s="953"/>
      <c r="F271" s="947"/>
      <c r="G271" s="947" t="s">
        <v>6577</v>
      </c>
      <c r="H271" s="947"/>
      <c r="I271" s="947"/>
    </row>
    <row r="272" spans="1:9">
      <c r="A272" s="941"/>
      <c r="B272" s="936" t="s">
        <v>6575</v>
      </c>
      <c r="C272" s="937">
        <f>C86</f>
        <v>1</v>
      </c>
      <c r="D272" s="936" t="str">
        <f>D86</f>
        <v>x</v>
      </c>
      <c r="E272" s="937">
        <v>1</v>
      </c>
      <c r="F272" s="936">
        <v>5.5</v>
      </c>
      <c r="G272" s="936">
        <v>30</v>
      </c>
      <c r="H272" s="936">
        <v>0.4</v>
      </c>
      <c r="I272" s="928">
        <f t="shared" ref="I272" si="27">ROUND(PRODUCT(C272:H272),2)</f>
        <v>66</v>
      </c>
    </row>
    <row r="273" spans="1:9">
      <c r="A273" s="941"/>
      <c r="B273" s="936"/>
      <c r="C273" s="937"/>
      <c r="D273" s="936"/>
      <c r="E273" s="1018" t="s">
        <v>2245</v>
      </c>
      <c r="F273" s="1018"/>
      <c r="G273" s="1018"/>
      <c r="H273" s="924">
        <f>SUM(I271:I272)</f>
        <v>66</v>
      </c>
      <c r="I273" s="925" t="s">
        <v>913</v>
      </c>
    </row>
    <row r="274" spans="1:9" ht="64.5" customHeight="1">
      <c r="A274" s="941">
        <f>A270+1</f>
        <v>26</v>
      </c>
      <c r="B274" s="1034" t="s">
        <v>6576</v>
      </c>
      <c r="C274" s="1034"/>
      <c r="D274" s="1034"/>
      <c r="E274" s="1034"/>
      <c r="F274" s="1034"/>
      <c r="G274" s="1034"/>
      <c r="H274" s="1034"/>
      <c r="I274" s="1034"/>
    </row>
    <row r="275" spans="1:9">
      <c r="A275" s="941"/>
      <c r="B275" s="947"/>
      <c r="C275" s="953"/>
      <c r="D275" s="947"/>
      <c r="E275" s="953"/>
      <c r="F275" s="947"/>
      <c r="G275" s="947" t="s">
        <v>6578</v>
      </c>
      <c r="H275" s="947"/>
      <c r="I275" s="947"/>
    </row>
    <row r="276" spans="1:9">
      <c r="A276" s="941"/>
      <c r="B276" s="936" t="s">
        <v>6575</v>
      </c>
      <c r="C276" s="937">
        <v>1</v>
      </c>
      <c r="D276" s="936" t="s">
        <v>6383</v>
      </c>
      <c r="E276" s="937">
        <v>1</v>
      </c>
      <c r="F276" s="936">
        <v>5.5</v>
      </c>
      <c r="G276" s="936">
        <v>1</v>
      </c>
      <c r="H276" s="936">
        <v>0.4</v>
      </c>
      <c r="I276" s="928">
        <f t="shared" ref="I276" si="28">ROUND(PRODUCT(C276:H276),2)</f>
        <v>2.2000000000000002</v>
      </c>
    </row>
    <row r="277" spans="1:9">
      <c r="A277" s="941"/>
      <c r="B277" s="936"/>
      <c r="C277" s="937"/>
      <c r="D277" s="936"/>
      <c r="E277" s="1018" t="s">
        <v>2245</v>
      </c>
      <c r="F277" s="1018"/>
      <c r="G277" s="1018"/>
      <c r="H277" s="924">
        <f>SUM(I275:I276)</f>
        <v>2.2000000000000002</v>
      </c>
      <c r="I277" s="925" t="s">
        <v>2283</v>
      </c>
    </row>
    <row r="278" spans="1:9" ht="72.75" customHeight="1">
      <c r="A278" s="941">
        <f>A274+1</f>
        <v>27</v>
      </c>
      <c r="B278" s="1034" t="s">
        <v>3566</v>
      </c>
      <c r="C278" s="1034"/>
      <c r="D278" s="1034"/>
      <c r="E278" s="1034"/>
      <c r="F278" s="1034"/>
      <c r="G278" s="1034"/>
      <c r="H278" s="1034"/>
      <c r="I278" s="1034"/>
    </row>
    <row r="279" spans="1:9">
      <c r="A279" s="941"/>
      <c r="B279" s="936" t="s">
        <v>6580</v>
      </c>
      <c r="C279" s="937">
        <v>1</v>
      </c>
      <c r="D279" s="936" t="s">
        <v>6383</v>
      </c>
      <c r="E279" s="937">
        <v>4</v>
      </c>
      <c r="F279" s="936">
        <v>30</v>
      </c>
      <c r="G279" s="936"/>
      <c r="H279" s="936"/>
      <c r="I279" s="928">
        <f t="shared" ref="I279" si="29">ROUND(PRODUCT(C279:H279),2)</f>
        <v>120</v>
      </c>
    </row>
    <row r="280" spans="1:9">
      <c r="A280" s="941"/>
      <c r="B280" s="936"/>
      <c r="C280" s="937"/>
      <c r="D280" s="936"/>
      <c r="E280" s="1018" t="s">
        <v>2245</v>
      </c>
      <c r="F280" s="1018"/>
      <c r="G280" s="1018"/>
      <c r="H280" s="924">
        <f>SUM(I278:I279)</f>
        <v>120</v>
      </c>
      <c r="I280" s="925" t="s">
        <v>826</v>
      </c>
    </row>
    <row r="281" spans="1:9" ht="61.5" customHeight="1">
      <c r="A281" s="941">
        <f>A278+1</f>
        <v>28</v>
      </c>
      <c r="B281" s="1039" t="s">
        <v>6581</v>
      </c>
      <c r="C281" s="1040"/>
      <c r="D281" s="1040"/>
      <c r="E281" s="1040"/>
      <c r="F281" s="1040"/>
      <c r="G281" s="1040"/>
      <c r="H281" s="1040"/>
      <c r="I281" s="1041"/>
    </row>
    <row r="282" spans="1:9">
      <c r="A282" s="941"/>
      <c r="B282" s="936" t="s">
        <v>6582</v>
      </c>
      <c r="C282" s="937">
        <v>1</v>
      </c>
      <c r="D282" s="936" t="s">
        <v>6383</v>
      </c>
      <c r="E282" s="937">
        <v>4</v>
      </c>
      <c r="F282" s="936">
        <v>25.5</v>
      </c>
      <c r="G282" s="936"/>
      <c r="H282" s="936"/>
      <c r="I282" s="928">
        <f t="shared" ref="I282" si="30">ROUND(PRODUCT(C282:H282),2)</f>
        <v>102</v>
      </c>
    </row>
    <row r="283" spans="1:9">
      <c r="A283" s="941"/>
      <c r="B283" s="936"/>
      <c r="C283" s="937"/>
      <c r="D283" s="936"/>
      <c r="E283" s="1018" t="s">
        <v>2245</v>
      </c>
      <c r="F283" s="1018"/>
      <c r="G283" s="1018"/>
      <c r="H283" s="924">
        <f>SUM(I281:I282)</f>
        <v>102</v>
      </c>
      <c r="I283" s="925" t="s">
        <v>826</v>
      </c>
    </row>
    <row r="284" spans="1:9" ht="70.5" customHeight="1">
      <c r="A284" s="941">
        <f>A281+1</f>
        <v>29</v>
      </c>
      <c r="B284" s="1042" t="s">
        <v>6579</v>
      </c>
      <c r="C284" s="1043"/>
      <c r="D284" s="1043"/>
      <c r="E284" s="1043"/>
      <c r="F284" s="1043"/>
      <c r="G284" s="1043"/>
      <c r="H284" s="1043"/>
      <c r="I284" s="1044"/>
    </row>
    <row r="285" spans="1:9">
      <c r="A285" s="941"/>
      <c r="B285" s="936" t="s">
        <v>6580</v>
      </c>
      <c r="C285" s="937">
        <v>1</v>
      </c>
      <c r="D285" s="936" t="s">
        <v>6383</v>
      </c>
      <c r="E285" s="937">
        <v>4</v>
      </c>
      <c r="F285" s="936">
        <v>25</v>
      </c>
      <c r="G285" s="936"/>
      <c r="H285" s="936"/>
      <c r="I285" s="928">
        <f t="shared" ref="I285" si="31">ROUND(PRODUCT(C285:H285),2)</f>
        <v>100</v>
      </c>
    </row>
    <row r="286" spans="1:9">
      <c r="A286" s="941"/>
      <c r="B286" s="936"/>
      <c r="C286" s="937"/>
      <c r="D286" s="936"/>
      <c r="E286" s="1018" t="s">
        <v>2245</v>
      </c>
      <c r="F286" s="1018"/>
      <c r="G286" s="1018"/>
      <c r="H286" s="924">
        <f>SUM(I284:I285)</f>
        <v>100</v>
      </c>
      <c r="I286" s="925" t="s">
        <v>826</v>
      </c>
    </row>
    <row r="287" spans="1:9" ht="64.5" customHeight="1">
      <c r="A287" s="941">
        <f>A284+1</f>
        <v>30</v>
      </c>
      <c r="B287" s="1042" t="s">
        <v>6583</v>
      </c>
      <c r="C287" s="1043"/>
      <c r="D287" s="1043"/>
      <c r="E287" s="1043"/>
      <c r="F287" s="1043"/>
      <c r="G287" s="1043"/>
      <c r="H287" s="1043"/>
      <c r="I287" s="1044"/>
    </row>
    <row r="288" spans="1:9">
      <c r="A288" s="941"/>
      <c r="B288" s="936" t="s">
        <v>6584</v>
      </c>
      <c r="C288" s="937"/>
      <c r="D288" s="936"/>
      <c r="E288" s="937"/>
      <c r="F288" s="936"/>
      <c r="G288" s="936"/>
      <c r="H288" s="936"/>
      <c r="I288" s="936"/>
    </row>
    <row r="289" spans="1:9">
      <c r="A289" s="941"/>
      <c r="B289" s="936" t="s">
        <v>6585</v>
      </c>
      <c r="C289" s="937">
        <v>1</v>
      </c>
      <c r="D289" s="936" t="s">
        <v>6383</v>
      </c>
      <c r="E289" s="937">
        <v>28</v>
      </c>
      <c r="F289" s="936"/>
      <c r="G289" s="936"/>
      <c r="H289" s="936"/>
      <c r="I289" s="928">
        <f t="shared" ref="I289" si="32">ROUND(PRODUCT(C289:H289),2)</f>
        <v>28</v>
      </c>
    </row>
    <row r="290" spans="1:9">
      <c r="A290" s="941"/>
      <c r="B290" s="936"/>
      <c r="C290" s="937"/>
      <c r="D290" s="936"/>
      <c r="E290" s="1018" t="s">
        <v>2245</v>
      </c>
      <c r="F290" s="1018"/>
      <c r="G290" s="1018"/>
      <c r="H290" s="924">
        <f>SUM(I288:I289)</f>
        <v>28</v>
      </c>
      <c r="I290" s="925" t="s">
        <v>1432</v>
      </c>
    </row>
    <row r="291" spans="1:9" ht="83.25" customHeight="1">
      <c r="A291" s="941">
        <f>A287+1</f>
        <v>31</v>
      </c>
      <c r="B291" s="1039" t="s">
        <v>6587</v>
      </c>
      <c r="C291" s="1040"/>
      <c r="D291" s="1040"/>
      <c r="E291" s="1040"/>
      <c r="F291" s="1040"/>
      <c r="G291" s="1040"/>
      <c r="H291" s="1040"/>
      <c r="I291" s="1041"/>
    </row>
    <row r="292" spans="1:9">
      <c r="A292" s="941"/>
      <c r="B292" s="936" t="str">
        <f t="shared" ref="B292:F296" si="33">B55</f>
        <v>Men rest</v>
      </c>
      <c r="C292" s="937">
        <f t="shared" si="33"/>
        <v>1</v>
      </c>
      <c r="D292" s="936" t="str">
        <f t="shared" si="33"/>
        <v>x</v>
      </c>
      <c r="E292" s="937">
        <f t="shared" si="33"/>
        <v>1</v>
      </c>
      <c r="F292" s="936">
        <f t="shared" si="33"/>
        <v>20</v>
      </c>
      <c r="G292" s="936"/>
      <c r="H292" s="936">
        <f t="shared" ref="H292:I297" si="34">H55</f>
        <v>2.5</v>
      </c>
      <c r="I292" s="936">
        <f t="shared" si="34"/>
        <v>50</v>
      </c>
    </row>
    <row r="293" spans="1:9">
      <c r="A293" s="941"/>
      <c r="B293" s="936" t="str">
        <f t="shared" si="33"/>
        <v>Men rest toilet</v>
      </c>
      <c r="C293" s="937">
        <f t="shared" si="33"/>
        <v>1</v>
      </c>
      <c r="D293" s="936" t="str">
        <f t="shared" si="33"/>
        <v>x</v>
      </c>
      <c r="E293" s="937">
        <f t="shared" si="33"/>
        <v>1</v>
      </c>
      <c r="F293" s="936">
        <f t="shared" si="33"/>
        <v>12.4</v>
      </c>
      <c r="G293" s="936"/>
      <c r="H293" s="936">
        <f t="shared" si="34"/>
        <v>2.8</v>
      </c>
      <c r="I293" s="936">
        <f t="shared" si="34"/>
        <v>34.72</v>
      </c>
    </row>
    <row r="294" spans="1:9">
      <c r="A294" s="941"/>
      <c r="B294" s="936" t="str">
        <f t="shared" si="33"/>
        <v>Hall</v>
      </c>
      <c r="C294" s="937">
        <f t="shared" si="33"/>
        <v>1</v>
      </c>
      <c r="D294" s="936" t="str">
        <f t="shared" si="33"/>
        <v>x</v>
      </c>
      <c r="E294" s="937">
        <f t="shared" si="33"/>
        <v>2</v>
      </c>
      <c r="F294" s="936">
        <f t="shared" si="33"/>
        <v>6</v>
      </c>
      <c r="G294" s="936"/>
      <c r="H294" s="936">
        <f t="shared" si="34"/>
        <v>4.8</v>
      </c>
      <c r="I294" s="936">
        <f t="shared" si="34"/>
        <v>57.6</v>
      </c>
    </row>
    <row r="295" spans="1:9">
      <c r="A295" s="941"/>
      <c r="B295" s="936" t="str">
        <f t="shared" si="33"/>
        <v>Portico parapet</v>
      </c>
      <c r="C295" s="937">
        <f t="shared" si="33"/>
        <v>1</v>
      </c>
      <c r="D295" s="936" t="str">
        <f t="shared" si="33"/>
        <v>x</v>
      </c>
      <c r="E295" s="937">
        <f t="shared" si="33"/>
        <v>2</v>
      </c>
      <c r="F295" s="936">
        <f t="shared" si="33"/>
        <v>2.4</v>
      </c>
      <c r="G295" s="936"/>
      <c r="H295" s="936">
        <f t="shared" si="34"/>
        <v>0.6</v>
      </c>
      <c r="I295" s="936">
        <f t="shared" si="34"/>
        <v>2.88</v>
      </c>
    </row>
    <row r="296" spans="1:9">
      <c r="A296" s="941"/>
      <c r="B296" s="936" t="str">
        <f t="shared" si="33"/>
        <v>PS outer</v>
      </c>
      <c r="C296" s="937">
        <f t="shared" si="33"/>
        <v>1</v>
      </c>
      <c r="D296" s="936" t="str">
        <f t="shared" si="33"/>
        <v>x</v>
      </c>
      <c r="E296" s="937">
        <f t="shared" si="33"/>
        <v>1</v>
      </c>
      <c r="F296" s="936">
        <f t="shared" si="33"/>
        <v>16.8</v>
      </c>
      <c r="G296" s="936"/>
      <c r="H296" s="936">
        <f t="shared" si="34"/>
        <v>2</v>
      </c>
      <c r="I296" s="936">
        <f t="shared" si="34"/>
        <v>33.6</v>
      </c>
    </row>
    <row r="297" spans="1:9">
      <c r="A297" s="941"/>
      <c r="B297" s="936"/>
      <c r="C297" s="937"/>
      <c r="D297" s="936"/>
      <c r="E297" s="937" t="str">
        <f>E60</f>
        <v>Total</v>
      </c>
      <c r="F297" s="936"/>
      <c r="G297" s="936"/>
      <c r="H297" s="936">
        <f t="shared" si="34"/>
        <v>178.8</v>
      </c>
      <c r="I297" s="936" t="str">
        <f t="shared" si="34"/>
        <v>Sqm</v>
      </c>
    </row>
    <row r="298" spans="1:9" ht="75" customHeight="1">
      <c r="A298" s="945">
        <f>A291+1</f>
        <v>32</v>
      </c>
      <c r="B298" s="1034" t="s">
        <v>6590</v>
      </c>
      <c r="C298" s="1034"/>
      <c r="D298" s="1034"/>
      <c r="E298" s="1034"/>
      <c r="F298" s="1034"/>
      <c r="G298" s="1034"/>
      <c r="H298" s="1034"/>
      <c r="I298" s="1034"/>
    </row>
    <row r="299" spans="1:9">
      <c r="A299" s="945"/>
      <c r="B299" s="936" t="s">
        <v>6591</v>
      </c>
      <c r="C299" s="937">
        <f>C62</f>
        <v>1</v>
      </c>
      <c r="D299" s="936" t="str">
        <f>D62</f>
        <v>x</v>
      </c>
      <c r="E299" s="937">
        <f>E62</f>
        <v>1</v>
      </c>
      <c r="F299" s="936">
        <v>4.75</v>
      </c>
      <c r="G299" s="936">
        <v>3.6</v>
      </c>
      <c r="H299" s="936"/>
      <c r="I299" s="928">
        <f t="shared" ref="I299:I301" si="35">ROUND(PRODUCT(C299:H299),2)</f>
        <v>17.100000000000001</v>
      </c>
    </row>
    <row r="300" spans="1:9">
      <c r="A300" s="945"/>
      <c r="B300" s="936" t="s">
        <v>6390</v>
      </c>
      <c r="C300" s="937">
        <v>1</v>
      </c>
      <c r="D300" s="936" t="s">
        <v>6383</v>
      </c>
      <c r="E300" s="937">
        <v>1</v>
      </c>
      <c r="F300" s="936">
        <v>1.5</v>
      </c>
      <c r="G300" s="936">
        <v>1.5</v>
      </c>
      <c r="H300" s="936"/>
      <c r="I300" s="928">
        <f t="shared" si="35"/>
        <v>2.25</v>
      </c>
    </row>
    <row r="301" spans="1:9">
      <c r="A301" s="945"/>
      <c r="B301" s="936" t="s">
        <v>6592</v>
      </c>
      <c r="C301" s="937">
        <v>1</v>
      </c>
      <c r="D301" s="936" t="s">
        <v>6383</v>
      </c>
      <c r="E301" s="937">
        <v>1</v>
      </c>
      <c r="F301" s="936">
        <v>3</v>
      </c>
      <c r="G301" s="936">
        <v>2.5</v>
      </c>
      <c r="H301" s="936"/>
      <c r="I301" s="928">
        <f t="shared" si="35"/>
        <v>7.5</v>
      </c>
    </row>
    <row r="302" spans="1:9">
      <c r="A302" s="945"/>
      <c r="B302" s="936"/>
      <c r="C302" s="937"/>
      <c r="D302" s="936"/>
      <c r="E302" s="1018" t="s">
        <v>2245</v>
      </c>
      <c r="F302" s="1018"/>
      <c r="G302" s="1018"/>
      <c r="H302" s="924">
        <f>SUM(I299:I301)</f>
        <v>26.85</v>
      </c>
      <c r="I302" s="925" t="s">
        <v>2283</v>
      </c>
    </row>
    <row r="303" spans="1:9" ht="59.25" customHeight="1">
      <c r="A303" s="945">
        <f>A298+1</f>
        <v>33</v>
      </c>
      <c r="B303" s="1046" t="s">
        <v>6593</v>
      </c>
      <c r="C303" s="1046"/>
      <c r="D303" s="1046"/>
      <c r="E303" s="1046"/>
      <c r="F303" s="1046"/>
      <c r="G303" s="1046"/>
      <c r="H303" s="1046"/>
      <c r="I303" s="1046"/>
    </row>
    <row r="304" spans="1:9">
      <c r="A304" s="941"/>
      <c r="B304" s="936" t="s">
        <v>6591</v>
      </c>
      <c r="C304" s="937">
        <f>C67</f>
        <v>1</v>
      </c>
      <c r="D304" s="936" t="str">
        <f>D67</f>
        <v>x</v>
      </c>
      <c r="E304" s="937">
        <f>E67</f>
        <v>1</v>
      </c>
      <c r="F304" s="936">
        <v>4.75</v>
      </c>
      <c r="G304" s="936">
        <v>3.6</v>
      </c>
      <c r="H304" s="936"/>
      <c r="I304" s="928">
        <f t="shared" ref="I304:I306" si="36">ROUND(PRODUCT(C304:H304),2)</f>
        <v>17.100000000000001</v>
      </c>
    </row>
    <row r="305" spans="1:9">
      <c r="A305" s="941"/>
      <c r="B305" s="936" t="s">
        <v>6390</v>
      </c>
      <c r="C305" s="937">
        <v>1</v>
      </c>
      <c r="D305" s="936" t="s">
        <v>6383</v>
      </c>
      <c r="E305" s="937">
        <v>1</v>
      </c>
      <c r="F305" s="936">
        <v>1.5</v>
      </c>
      <c r="G305" s="936">
        <v>1.5</v>
      </c>
      <c r="H305" s="936"/>
      <c r="I305" s="928">
        <f t="shared" si="36"/>
        <v>2.25</v>
      </c>
    </row>
    <row r="306" spans="1:9">
      <c r="A306" s="941"/>
      <c r="B306" s="936" t="s">
        <v>6592</v>
      </c>
      <c r="C306" s="937">
        <v>1</v>
      </c>
      <c r="D306" s="936" t="s">
        <v>6383</v>
      </c>
      <c r="E306" s="937">
        <v>1</v>
      </c>
      <c r="F306" s="936">
        <v>3</v>
      </c>
      <c r="G306" s="936">
        <v>2.5</v>
      </c>
      <c r="H306" s="936"/>
      <c r="I306" s="928">
        <f t="shared" si="36"/>
        <v>7.5</v>
      </c>
    </row>
    <row r="307" spans="1:9">
      <c r="A307" s="941"/>
      <c r="B307" s="936"/>
      <c r="C307" s="937"/>
      <c r="D307" s="936"/>
      <c r="E307" s="1018" t="s">
        <v>2245</v>
      </c>
      <c r="F307" s="1018"/>
      <c r="G307" s="1018"/>
      <c r="H307" s="924">
        <f>SUM(I304:I306)</f>
        <v>26.85</v>
      </c>
      <c r="I307" s="925" t="s">
        <v>2283</v>
      </c>
    </row>
    <row r="308" spans="1:9">
      <c r="A308" s="948"/>
      <c r="B308" s="949"/>
      <c r="C308" s="954"/>
      <c r="D308" s="949"/>
      <c r="E308" s="954"/>
      <c r="F308" s="949"/>
      <c r="G308" s="949"/>
      <c r="H308" s="949"/>
      <c r="I308" s="949"/>
    </row>
    <row r="309" spans="1:9">
      <c r="A309" s="948"/>
      <c r="B309" s="949"/>
      <c r="C309" s="954"/>
      <c r="D309" s="949"/>
      <c r="E309" s="954"/>
      <c r="F309" s="949"/>
      <c r="G309" s="949"/>
      <c r="H309" s="949"/>
      <c r="I309" s="949"/>
    </row>
    <row r="310" spans="1:9">
      <c r="A310" s="948"/>
      <c r="B310" s="949"/>
      <c r="C310" s="954"/>
      <c r="D310" s="949"/>
      <c r="E310" s="954"/>
      <c r="F310" s="949"/>
      <c r="G310" s="949"/>
      <c r="H310" s="949"/>
      <c r="I310" s="949"/>
    </row>
    <row r="311" spans="1:9">
      <c r="A311" s="948"/>
      <c r="B311" s="949"/>
      <c r="C311" s="954"/>
      <c r="D311" s="949"/>
      <c r="E311" s="954"/>
      <c r="F311" s="949"/>
      <c r="G311" s="949"/>
      <c r="H311" s="949"/>
      <c r="I311" s="949"/>
    </row>
    <row r="312" spans="1:9">
      <c r="A312" s="948"/>
      <c r="B312" s="949"/>
      <c r="C312" s="954"/>
      <c r="D312" s="949"/>
      <c r="E312" s="954"/>
      <c r="F312" s="949"/>
      <c r="G312" s="949"/>
      <c r="H312" s="949"/>
      <c r="I312" s="949"/>
    </row>
    <row r="313" spans="1:9">
      <c r="A313" s="1045" t="s">
        <v>6589</v>
      </c>
      <c r="B313" s="1045"/>
      <c r="C313" s="1045"/>
      <c r="D313" s="1045"/>
      <c r="E313" s="1045"/>
      <c r="F313" s="1045"/>
      <c r="G313" s="1045"/>
      <c r="H313" s="1045"/>
      <c r="I313" s="1045"/>
    </row>
    <row r="314" spans="1:9">
      <c r="A314" s="948"/>
      <c r="B314" s="949"/>
      <c r="C314" s="954"/>
      <c r="D314" s="949"/>
      <c r="E314" s="954"/>
      <c r="F314" s="949"/>
      <c r="G314" s="949"/>
      <c r="H314" s="949"/>
      <c r="I314" s="949"/>
    </row>
    <row r="315" spans="1:9">
      <c r="A315" s="948"/>
      <c r="B315" s="949"/>
      <c r="C315" s="954"/>
      <c r="D315" s="949"/>
      <c r="E315" s="954"/>
      <c r="F315" s="949"/>
      <c r="G315" s="949"/>
      <c r="H315" s="949"/>
      <c r="I315" s="949"/>
    </row>
    <row r="316" spans="1:9">
      <c r="A316" s="948"/>
      <c r="B316" s="949"/>
      <c r="C316" s="954"/>
      <c r="D316" s="949"/>
      <c r="E316" s="954"/>
      <c r="F316" s="949"/>
      <c r="G316" s="949"/>
      <c r="H316" s="949"/>
      <c r="I316" s="949"/>
    </row>
    <row r="317" spans="1:9">
      <c r="A317" s="948"/>
      <c r="B317" s="949"/>
      <c r="C317" s="954"/>
      <c r="D317" s="949"/>
      <c r="E317" s="954"/>
      <c r="F317" s="949"/>
      <c r="G317" s="949"/>
      <c r="H317" s="949"/>
      <c r="I317" s="949"/>
    </row>
    <row r="318" spans="1:9">
      <c r="A318" s="948"/>
      <c r="B318" s="949"/>
      <c r="C318" s="954"/>
      <c r="D318" s="949"/>
      <c r="E318" s="954"/>
      <c r="F318" s="949"/>
      <c r="G318" s="949"/>
      <c r="H318" s="949"/>
      <c r="I318" s="949"/>
    </row>
    <row r="319" spans="1:9">
      <c r="A319" s="948"/>
      <c r="B319" s="949"/>
      <c r="C319" s="954"/>
      <c r="D319" s="949"/>
      <c r="E319" s="954"/>
      <c r="F319" s="949"/>
      <c r="G319" s="949"/>
      <c r="H319" s="949"/>
      <c r="I319" s="949"/>
    </row>
    <row r="320" spans="1:9">
      <c r="A320" s="948"/>
      <c r="B320" s="949"/>
      <c r="C320" s="954"/>
      <c r="D320" s="949"/>
      <c r="E320" s="954"/>
      <c r="F320" s="949"/>
      <c r="G320" s="949"/>
      <c r="H320" s="949"/>
      <c r="I320" s="949"/>
    </row>
  </sheetData>
  <mergeCells count="120">
    <mergeCell ref="E286:G286"/>
    <mergeCell ref="B287:I287"/>
    <mergeCell ref="E290:G290"/>
    <mergeCell ref="B291:I291"/>
    <mergeCell ref="A313:I313"/>
    <mergeCell ref="B298:I298"/>
    <mergeCell ref="E302:G302"/>
    <mergeCell ref="B303:I303"/>
    <mergeCell ref="E307:G307"/>
    <mergeCell ref="B270:I270"/>
    <mergeCell ref="B274:I274"/>
    <mergeCell ref="E273:G273"/>
    <mergeCell ref="E277:G277"/>
    <mergeCell ref="B278:I278"/>
    <mergeCell ref="E280:G280"/>
    <mergeCell ref="B281:I281"/>
    <mergeCell ref="E283:G283"/>
    <mergeCell ref="B284:I284"/>
    <mergeCell ref="B258:I258"/>
    <mergeCell ref="E72:G72"/>
    <mergeCell ref="E84:G84"/>
    <mergeCell ref="E269:G269"/>
    <mergeCell ref="A8:A12"/>
    <mergeCell ref="B8:I8"/>
    <mergeCell ref="B9:I9"/>
    <mergeCell ref="E12:G12"/>
    <mergeCell ref="A13:A21"/>
    <mergeCell ref="B13:I13"/>
    <mergeCell ref="E21:G21"/>
    <mergeCell ref="A27:A36"/>
    <mergeCell ref="B27:I27"/>
    <mergeCell ref="B28:I28"/>
    <mergeCell ref="E30:G30"/>
    <mergeCell ref="B31:I31"/>
    <mergeCell ref="E33:G33"/>
    <mergeCell ref="B34:I34"/>
    <mergeCell ref="A43:A47"/>
    <mergeCell ref="B43:I43"/>
    <mergeCell ref="E47:G47"/>
    <mergeCell ref="A48:A53"/>
    <mergeCell ref="B48:I48"/>
    <mergeCell ref="E53:G53"/>
    <mergeCell ref="A1:I1"/>
    <mergeCell ref="A2:I2"/>
    <mergeCell ref="A3:I3"/>
    <mergeCell ref="A4:I4"/>
    <mergeCell ref="A5:I5"/>
    <mergeCell ref="C7:E7"/>
    <mergeCell ref="A22:A26"/>
    <mergeCell ref="B22:I22"/>
    <mergeCell ref="E26:G26"/>
    <mergeCell ref="E36:G36"/>
    <mergeCell ref="A37:A39"/>
    <mergeCell ref="B37:I37"/>
    <mergeCell ref="E39:G39"/>
    <mergeCell ref="A40:A42"/>
    <mergeCell ref="B40:I40"/>
    <mergeCell ref="E42:G42"/>
    <mergeCell ref="A73:A83"/>
    <mergeCell ref="B73:I73"/>
    <mergeCell ref="E83:G83"/>
    <mergeCell ref="A54:A60"/>
    <mergeCell ref="B54:I54"/>
    <mergeCell ref="E60:G60"/>
    <mergeCell ref="A61:A71"/>
    <mergeCell ref="B61:I61"/>
    <mergeCell ref="E71:G71"/>
    <mergeCell ref="A96:A98"/>
    <mergeCell ref="B96:I96"/>
    <mergeCell ref="E98:G98"/>
    <mergeCell ref="A85:A88"/>
    <mergeCell ref="B85:I85"/>
    <mergeCell ref="E88:G88"/>
    <mergeCell ref="A89:A95"/>
    <mergeCell ref="B89:I89"/>
    <mergeCell ref="E92:G92"/>
    <mergeCell ref="E95:G95"/>
    <mergeCell ref="A105:A109"/>
    <mergeCell ref="B105:I105"/>
    <mergeCell ref="E109:G109"/>
    <mergeCell ref="A99:A101"/>
    <mergeCell ref="B99:I99"/>
    <mergeCell ref="E101:G101"/>
    <mergeCell ref="A102:A104"/>
    <mergeCell ref="B102:I102"/>
    <mergeCell ref="E104:G104"/>
    <mergeCell ref="A118:A176"/>
    <mergeCell ref="B118:I118"/>
    <mergeCell ref="E176:G176"/>
    <mergeCell ref="A177:A194"/>
    <mergeCell ref="B177:I177"/>
    <mergeCell ref="E194:G194"/>
    <mergeCell ref="A110:A113"/>
    <mergeCell ref="B110:I110"/>
    <mergeCell ref="E113:G113"/>
    <mergeCell ref="A114:A117"/>
    <mergeCell ref="B114:I114"/>
    <mergeCell ref="E117:G117"/>
    <mergeCell ref="A223:A231"/>
    <mergeCell ref="B223:I223"/>
    <mergeCell ref="E231:G231"/>
    <mergeCell ref="A232:A235"/>
    <mergeCell ref="B232:I232"/>
    <mergeCell ref="E235:G235"/>
    <mergeCell ref="A195:A215"/>
    <mergeCell ref="B195:I195"/>
    <mergeCell ref="E215:G215"/>
    <mergeCell ref="A216:A222"/>
    <mergeCell ref="B216:I216"/>
    <mergeCell ref="E222:G222"/>
    <mergeCell ref="B246:I246"/>
    <mergeCell ref="E256:G256"/>
    <mergeCell ref="A236:A239"/>
    <mergeCell ref="B236:I236"/>
    <mergeCell ref="E239:G239"/>
    <mergeCell ref="A240:A245"/>
    <mergeCell ref="B240:I240"/>
    <mergeCell ref="E243:G243"/>
    <mergeCell ref="E244:G244"/>
    <mergeCell ref="E245:G245"/>
  </mergeCells>
  <pageMargins left="0.48" right="0.5" top="0.39" bottom="0.39370078740157499" header="0.17" footer="0.31496062992126"/>
  <pageSetup paperSize="9" scale="97" orientation="portrait" verticalDpi="300" r:id="rId1"/>
  <headerFooter>
    <oddHeader>Page &amp;P</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505"/>
  <sheetViews>
    <sheetView view="pageBreakPreview" topLeftCell="A488" zoomScaleSheetLayoutView="100" workbookViewId="0">
      <selection activeCell="C499" sqref="C499"/>
    </sheetView>
  </sheetViews>
  <sheetFormatPr defaultRowHeight="15.75"/>
  <cols>
    <col min="1" max="1" width="9.109375" customWidth="1"/>
    <col min="3" max="3" width="40.109375" customWidth="1"/>
    <col min="4" max="4" width="10.21875" customWidth="1"/>
    <col min="6" max="6" width="11.33203125" style="4"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375"/>
    </row>
    <row r="2" spans="1:6">
      <c r="A2" s="252"/>
      <c r="B2" s="252"/>
      <c r="C2" s="740" t="s">
        <v>652</v>
      </c>
      <c r="D2" s="252"/>
      <c r="E2" s="296"/>
      <c r="F2" s="375"/>
    </row>
    <row r="3" spans="1:6">
      <c r="A3" s="739" t="s">
        <v>1585</v>
      </c>
      <c r="B3" s="252" t="s">
        <v>975</v>
      </c>
      <c r="C3" s="274" t="s">
        <v>6482</v>
      </c>
      <c r="D3" s="252"/>
      <c r="E3" s="276"/>
      <c r="F3" s="375"/>
    </row>
    <row r="4" spans="1:6">
      <c r="A4" s="358" t="s">
        <v>1586</v>
      </c>
      <c r="B4" s="358" t="s">
        <v>1586</v>
      </c>
      <c r="C4" s="358" t="s">
        <v>1586</v>
      </c>
      <c r="D4" s="358" t="s">
        <v>1586</v>
      </c>
      <c r="E4" s="358" t="s">
        <v>1586</v>
      </c>
      <c r="F4" s="375" t="s">
        <v>1586</v>
      </c>
    </row>
    <row r="5" spans="1:6">
      <c r="A5" s="739" t="s">
        <v>1588</v>
      </c>
      <c r="B5" s="252" t="s">
        <v>975</v>
      </c>
      <c r="C5" s="741" t="s">
        <v>1589</v>
      </c>
      <c r="D5" s="741" t="s">
        <v>1590</v>
      </c>
      <c r="E5" s="741" t="s">
        <v>1591</v>
      </c>
      <c r="F5" s="739" t="s">
        <v>1592</v>
      </c>
    </row>
    <row r="6" spans="1:6">
      <c r="A6" s="358" t="s">
        <v>1586</v>
      </c>
      <c r="B6" s="358" t="s">
        <v>1586</v>
      </c>
      <c r="C6" s="358" t="s">
        <v>1586</v>
      </c>
      <c r="D6" s="358" t="s">
        <v>1586</v>
      </c>
      <c r="E6" s="358" t="s">
        <v>1586</v>
      </c>
      <c r="F6" s="375" t="s">
        <v>1586</v>
      </c>
    </row>
    <row r="7" spans="1:6">
      <c r="A7" s="252"/>
      <c r="B7" s="252" t="s">
        <v>2251</v>
      </c>
      <c r="C7" s="296" t="s">
        <v>2252</v>
      </c>
      <c r="D7" s="252"/>
      <c r="E7" s="296"/>
      <c r="F7" s="375"/>
    </row>
    <row r="8" spans="1:6">
      <c r="A8" s="252"/>
      <c r="B8" s="252"/>
      <c r="C8" s="358" t="s">
        <v>1586</v>
      </c>
      <c r="D8" s="252"/>
      <c r="E8" s="296"/>
      <c r="F8" s="375"/>
    </row>
    <row r="9" spans="1:6">
      <c r="A9" s="252">
        <v>0.96</v>
      </c>
      <c r="B9" s="252" t="s">
        <v>861</v>
      </c>
      <c r="C9" s="296" t="s">
        <v>862</v>
      </c>
      <c r="D9" s="252">
        <v>6040</v>
      </c>
      <c r="E9" s="296" t="s">
        <v>861</v>
      </c>
      <c r="F9" s="375">
        <v>5798.4</v>
      </c>
    </row>
    <row r="10" spans="1:6">
      <c r="A10" s="252">
        <v>1</v>
      </c>
      <c r="B10" s="252" t="s">
        <v>869</v>
      </c>
      <c r="C10" s="296" t="s">
        <v>870</v>
      </c>
      <c r="D10" s="252">
        <v>2074.06</v>
      </c>
      <c r="E10" s="296" t="s">
        <v>869</v>
      </c>
      <c r="F10" s="375">
        <v>2074.06</v>
      </c>
    </row>
    <row r="11" spans="1:6">
      <c r="A11" s="252">
        <v>1</v>
      </c>
      <c r="B11" s="252" t="s">
        <v>869</v>
      </c>
      <c r="C11" s="296" t="s">
        <v>874</v>
      </c>
      <c r="D11" s="252">
        <v>116</v>
      </c>
      <c r="E11" s="296" t="s">
        <v>869</v>
      </c>
      <c r="F11" s="375">
        <v>116</v>
      </c>
    </row>
    <row r="12" spans="1:6">
      <c r="A12" s="252"/>
      <c r="B12" s="252" t="s">
        <v>449</v>
      </c>
      <c r="C12" s="296" t="s">
        <v>450</v>
      </c>
      <c r="D12" s="252" t="s">
        <v>975</v>
      </c>
      <c r="E12" s="296" t="s">
        <v>449</v>
      </c>
      <c r="F12" s="375">
        <v>0</v>
      </c>
    </row>
    <row r="13" spans="1:6">
      <c r="A13" s="252"/>
      <c r="B13" s="252"/>
      <c r="C13" s="252"/>
      <c r="D13" s="252"/>
      <c r="E13" s="296"/>
      <c r="F13" s="375" t="s">
        <v>1586</v>
      </c>
    </row>
    <row r="14" spans="1:6">
      <c r="A14" s="252"/>
      <c r="B14" s="252"/>
      <c r="C14" s="296" t="s">
        <v>1516</v>
      </c>
      <c r="D14" s="252"/>
      <c r="E14" s="296"/>
      <c r="F14" s="739">
        <v>7988.46</v>
      </c>
    </row>
    <row r="15" spans="1:6">
      <c r="A15" s="252"/>
      <c r="B15" s="252"/>
      <c r="C15" s="252"/>
      <c r="D15" s="252"/>
      <c r="E15" s="296"/>
      <c r="F15" s="375" t="s">
        <v>1586</v>
      </c>
    </row>
    <row r="16" spans="1:6">
      <c r="A16" s="252"/>
      <c r="B16" s="252" t="s">
        <v>2251</v>
      </c>
      <c r="C16" s="296" t="s">
        <v>119</v>
      </c>
      <c r="D16" s="252"/>
      <c r="E16" s="296"/>
      <c r="F16" s="375"/>
    </row>
    <row r="17" spans="1:6">
      <c r="A17" s="252"/>
      <c r="B17" s="252"/>
      <c r="C17" s="358" t="s">
        <v>1586</v>
      </c>
      <c r="D17" s="252"/>
      <c r="E17" s="296"/>
      <c r="F17" s="375"/>
    </row>
    <row r="18" spans="1:6">
      <c r="A18" s="252">
        <v>0.72</v>
      </c>
      <c r="B18" s="252" t="s">
        <v>861</v>
      </c>
      <c r="C18" s="296" t="s">
        <v>862</v>
      </c>
      <c r="D18" s="252">
        <v>6040</v>
      </c>
      <c r="E18" s="296" t="s">
        <v>861</v>
      </c>
      <c r="F18" s="375">
        <v>4348.8</v>
      </c>
    </row>
    <row r="19" spans="1:6">
      <c r="A19" s="252">
        <v>1</v>
      </c>
      <c r="B19" s="252" t="s">
        <v>869</v>
      </c>
      <c r="C19" s="296" t="s">
        <v>870</v>
      </c>
      <c r="D19" s="252">
        <v>2074.06</v>
      </c>
      <c r="E19" s="296" t="s">
        <v>869</v>
      </c>
      <c r="F19" s="375">
        <v>2074.06</v>
      </c>
    </row>
    <row r="20" spans="1:6">
      <c r="A20" s="252">
        <v>1</v>
      </c>
      <c r="B20" s="252" t="s">
        <v>869</v>
      </c>
      <c r="C20" s="296" t="s">
        <v>874</v>
      </c>
      <c r="D20" s="252">
        <v>116</v>
      </c>
      <c r="E20" s="296" t="s">
        <v>869</v>
      </c>
      <c r="F20" s="375">
        <v>116</v>
      </c>
    </row>
    <row r="21" spans="1:6">
      <c r="A21" s="252"/>
      <c r="B21" s="252" t="s">
        <v>449</v>
      </c>
      <c r="C21" s="296" t="s">
        <v>450</v>
      </c>
      <c r="D21" s="252" t="s">
        <v>975</v>
      </c>
      <c r="E21" s="296" t="s">
        <v>449</v>
      </c>
      <c r="F21" s="375">
        <v>0</v>
      </c>
    </row>
    <row r="22" spans="1:6">
      <c r="A22" s="252"/>
      <c r="B22" s="252"/>
      <c r="C22" s="252"/>
      <c r="D22" s="252"/>
      <c r="E22" s="296"/>
      <c r="F22" s="375" t="s">
        <v>1586</v>
      </c>
    </row>
    <row r="23" spans="1:6">
      <c r="A23" s="252"/>
      <c r="B23" s="252"/>
      <c r="C23" s="296" t="s">
        <v>1516</v>
      </c>
      <c r="D23" s="252"/>
      <c r="E23" s="296"/>
      <c r="F23" s="739">
        <v>6538.86</v>
      </c>
    </row>
    <row r="24" spans="1:6">
      <c r="A24" s="252"/>
      <c r="B24" s="252"/>
      <c r="C24" s="252"/>
      <c r="D24" s="252"/>
      <c r="E24" s="296"/>
      <c r="F24" s="375" t="s">
        <v>1586</v>
      </c>
    </row>
    <row r="25" spans="1:6">
      <c r="A25" s="252"/>
      <c r="B25" s="252" t="s">
        <v>2251</v>
      </c>
      <c r="C25" s="296" t="s">
        <v>1353</v>
      </c>
      <c r="D25" s="252"/>
      <c r="E25" s="296"/>
      <c r="F25" s="375"/>
    </row>
    <row r="26" spans="1:6">
      <c r="A26" s="252"/>
      <c r="B26" s="252"/>
      <c r="C26" s="358" t="s">
        <v>1586</v>
      </c>
      <c r="D26" s="252"/>
      <c r="E26" s="296"/>
      <c r="F26" s="375"/>
    </row>
    <row r="27" spans="1:6">
      <c r="A27" s="252">
        <v>0.48</v>
      </c>
      <c r="B27" s="252" t="s">
        <v>861</v>
      </c>
      <c r="C27" s="296" t="s">
        <v>862</v>
      </c>
      <c r="D27" s="252">
        <v>6040</v>
      </c>
      <c r="E27" s="296" t="s">
        <v>861</v>
      </c>
      <c r="F27" s="375">
        <v>2899.2</v>
      </c>
    </row>
    <row r="28" spans="1:6">
      <c r="A28" s="252">
        <v>1</v>
      </c>
      <c r="B28" s="252" t="s">
        <v>869</v>
      </c>
      <c r="C28" s="296" t="s">
        <v>870</v>
      </c>
      <c r="D28" s="252">
        <v>2074.06</v>
      </c>
      <c r="E28" s="296" t="s">
        <v>869</v>
      </c>
      <c r="F28" s="375">
        <v>2074.06</v>
      </c>
    </row>
    <row r="29" spans="1:6">
      <c r="A29" s="252">
        <v>1</v>
      </c>
      <c r="B29" s="252" t="s">
        <v>869</v>
      </c>
      <c r="C29" s="296" t="s">
        <v>874</v>
      </c>
      <c r="D29" s="252">
        <v>116</v>
      </c>
      <c r="E29" s="296" t="s">
        <v>869</v>
      </c>
      <c r="F29" s="375">
        <v>116</v>
      </c>
    </row>
    <row r="30" spans="1:6">
      <c r="A30" s="252"/>
      <c r="B30" s="252" t="s">
        <v>449</v>
      </c>
      <c r="C30" s="296" t="s">
        <v>450</v>
      </c>
      <c r="D30" s="252" t="s">
        <v>975</v>
      </c>
      <c r="E30" s="296" t="s">
        <v>449</v>
      </c>
      <c r="F30" s="375">
        <v>0</v>
      </c>
    </row>
    <row r="31" spans="1:6">
      <c r="A31" s="252"/>
      <c r="B31" s="252"/>
      <c r="C31" s="252"/>
      <c r="D31" s="252"/>
      <c r="E31" s="296"/>
      <c r="F31" s="375" t="s">
        <v>1586</v>
      </c>
    </row>
    <row r="32" spans="1:6">
      <c r="A32" s="252"/>
      <c r="B32" s="252"/>
      <c r="C32" s="296" t="s">
        <v>1516</v>
      </c>
      <c r="D32" s="252"/>
      <c r="E32" s="296"/>
      <c r="F32" s="739">
        <v>5089.26</v>
      </c>
    </row>
    <row r="33" spans="1:6">
      <c r="A33" s="252"/>
      <c r="B33" s="252"/>
      <c r="C33" s="252"/>
      <c r="D33" s="252"/>
      <c r="E33" s="296"/>
      <c r="F33" s="375" t="s">
        <v>1586</v>
      </c>
    </row>
    <row r="34" spans="1:6">
      <c r="A34" s="252"/>
      <c r="B34" s="252" t="s">
        <v>2251</v>
      </c>
      <c r="C34" s="296" t="s">
        <v>1307</v>
      </c>
      <c r="D34" s="252"/>
      <c r="E34" s="296"/>
      <c r="F34" s="375"/>
    </row>
    <row r="35" spans="1:6">
      <c r="A35" s="252">
        <v>0.36</v>
      </c>
      <c r="B35" s="252" t="s">
        <v>861</v>
      </c>
      <c r="C35" s="296" t="s">
        <v>862</v>
      </c>
      <c r="D35" s="252">
        <v>6040</v>
      </c>
      <c r="E35" s="296" t="s">
        <v>861</v>
      </c>
      <c r="F35" s="375">
        <v>2174.4</v>
      </c>
    </row>
    <row r="36" spans="1:6">
      <c r="A36" s="252">
        <v>1</v>
      </c>
      <c r="B36" s="252" t="s">
        <v>869</v>
      </c>
      <c r="C36" s="296" t="s">
        <v>870</v>
      </c>
      <c r="D36" s="252">
        <v>2074.06</v>
      </c>
      <c r="E36" s="296" t="s">
        <v>869</v>
      </c>
      <c r="F36" s="375">
        <v>2074.06</v>
      </c>
    </row>
    <row r="37" spans="1:6">
      <c r="A37" s="252">
        <v>1</v>
      </c>
      <c r="B37" s="252" t="s">
        <v>869</v>
      </c>
      <c r="C37" s="296" t="s">
        <v>874</v>
      </c>
      <c r="D37" s="252">
        <v>116</v>
      </c>
      <c r="E37" s="296" t="s">
        <v>869</v>
      </c>
      <c r="F37" s="375">
        <v>116</v>
      </c>
    </row>
    <row r="38" spans="1:6">
      <c r="A38" s="252"/>
      <c r="B38" s="252" t="s">
        <v>449</v>
      </c>
      <c r="C38" s="296" t="s">
        <v>450</v>
      </c>
      <c r="D38" s="252" t="s">
        <v>975</v>
      </c>
      <c r="E38" s="296" t="s">
        <v>449</v>
      </c>
      <c r="F38" s="375">
        <v>0</v>
      </c>
    </row>
    <row r="39" spans="1:6">
      <c r="A39" s="252"/>
      <c r="B39" s="252"/>
      <c r="C39" s="252"/>
      <c r="D39" s="252"/>
      <c r="E39" s="296"/>
      <c r="F39" s="375" t="s">
        <v>1586</v>
      </c>
    </row>
    <row r="40" spans="1:6">
      <c r="A40" s="252"/>
      <c r="B40" s="252"/>
      <c r="C40" s="296" t="s">
        <v>1516</v>
      </c>
      <c r="D40" s="252"/>
      <c r="E40" s="296"/>
      <c r="F40" s="739">
        <v>4364.46</v>
      </c>
    </row>
    <row r="41" spans="1:6">
      <c r="A41" s="252"/>
      <c r="B41" s="252"/>
      <c r="C41" s="252"/>
      <c r="D41" s="252"/>
      <c r="E41" s="296"/>
      <c r="F41" s="375" t="s">
        <v>1586</v>
      </c>
    </row>
    <row r="42" spans="1:6">
      <c r="A42" s="252"/>
      <c r="B42" s="252" t="s">
        <v>2251</v>
      </c>
      <c r="C42" s="296" t="s">
        <v>1625</v>
      </c>
      <c r="D42" s="252"/>
      <c r="E42" s="296"/>
      <c r="F42" s="375"/>
    </row>
    <row r="43" spans="1:6">
      <c r="A43" s="252"/>
      <c r="B43" s="252"/>
      <c r="C43" s="358" t="s">
        <v>1586</v>
      </c>
      <c r="D43" s="252"/>
      <c r="E43" s="296"/>
      <c r="F43" s="375"/>
    </row>
    <row r="44" spans="1:6">
      <c r="A44" s="356">
        <v>0.28799999999999998</v>
      </c>
      <c r="B44" s="252" t="s">
        <v>861</v>
      </c>
      <c r="C44" s="296" t="s">
        <v>862</v>
      </c>
      <c r="D44" s="252">
        <v>6040</v>
      </c>
      <c r="E44" s="296" t="s">
        <v>861</v>
      </c>
      <c r="F44" s="375">
        <v>1739.52</v>
      </c>
    </row>
    <row r="45" spans="1:6">
      <c r="A45" s="252">
        <v>1</v>
      </c>
      <c r="B45" s="252" t="s">
        <v>869</v>
      </c>
      <c r="C45" s="296" t="s">
        <v>870</v>
      </c>
      <c r="D45" s="252">
        <v>2074.06</v>
      </c>
      <c r="E45" s="296" t="s">
        <v>869</v>
      </c>
      <c r="F45" s="375">
        <v>2074.06</v>
      </c>
    </row>
    <row r="46" spans="1:6">
      <c r="A46" s="252">
        <v>1</v>
      </c>
      <c r="B46" s="252" t="s">
        <v>869</v>
      </c>
      <c r="C46" s="296" t="s">
        <v>874</v>
      </c>
      <c r="D46" s="252">
        <v>116</v>
      </c>
      <c r="E46" s="296" t="s">
        <v>869</v>
      </c>
      <c r="F46" s="375">
        <v>116</v>
      </c>
    </row>
    <row r="47" spans="1:6">
      <c r="A47" s="252"/>
      <c r="B47" s="252" t="s">
        <v>449</v>
      </c>
      <c r="C47" s="296" t="s">
        <v>450</v>
      </c>
      <c r="D47" s="252" t="s">
        <v>975</v>
      </c>
      <c r="E47" s="296" t="s">
        <v>449</v>
      </c>
      <c r="F47" s="375">
        <v>0</v>
      </c>
    </row>
    <row r="48" spans="1:6">
      <c r="A48" s="252"/>
      <c r="B48" s="252"/>
      <c r="C48" s="252"/>
      <c r="D48" s="252"/>
      <c r="E48" s="296"/>
      <c r="F48" s="375" t="s">
        <v>1586</v>
      </c>
    </row>
    <row r="49" spans="1:6">
      <c r="A49" s="252"/>
      <c r="B49" s="252"/>
      <c r="C49" s="296" t="s">
        <v>1516</v>
      </c>
      <c r="D49" s="252"/>
      <c r="E49" s="296"/>
      <c r="F49" s="739">
        <v>3929.58</v>
      </c>
    </row>
    <row r="50" spans="1:6">
      <c r="A50" s="252"/>
      <c r="B50" s="252"/>
      <c r="C50" s="252"/>
      <c r="D50" s="252"/>
      <c r="E50" s="296"/>
      <c r="F50" s="375" t="s">
        <v>1586</v>
      </c>
    </row>
    <row r="51" spans="1:6">
      <c r="A51" s="252"/>
      <c r="B51" s="252" t="s">
        <v>2251</v>
      </c>
      <c r="C51" s="252" t="s">
        <v>1631</v>
      </c>
      <c r="D51" s="252"/>
      <c r="E51" s="296"/>
      <c r="F51" s="375"/>
    </row>
    <row r="52" spans="1:6">
      <c r="A52" s="366"/>
      <c r="B52" s="252"/>
      <c r="C52" s="296" t="s">
        <v>1586</v>
      </c>
      <c r="D52" s="252"/>
      <c r="E52" s="296"/>
      <c r="F52" s="375"/>
    </row>
    <row r="53" spans="1:6">
      <c r="A53" s="252">
        <v>0.24</v>
      </c>
      <c r="B53" s="252" t="s">
        <v>861</v>
      </c>
      <c r="C53" s="296" t="s">
        <v>862</v>
      </c>
      <c r="D53" s="252">
        <v>6040</v>
      </c>
      <c r="E53" s="296" t="s">
        <v>861</v>
      </c>
      <c r="F53" s="375">
        <v>1449.6</v>
      </c>
    </row>
    <row r="54" spans="1:6">
      <c r="A54" s="252">
        <v>1</v>
      </c>
      <c r="B54" s="252" t="s">
        <v>869</v>
      </c>
      <c r="C54" s="296" t="s">
        <v>870</v>
      </c>
      <c r="D54" s="252">
        <v>2074.06</v>
      </c>
      <c r="E54" s="296" t="s">
        <v>869</v>
      </c>
      <c r="F54" s="375">
        <v>2074.06</v>
      </c>
    </row>
    <row r="55" spans="1:6">
      <c r="A55" s="252">
        <v>1</v>
      </c>
      <c r="B55" s="252" t="s">
        <v>869</v>
      </c>
      <c r="C55" s="296" t="s">
        <v>874</v>
      </c>
      <c r="D55" s="252">
        <v>116</v>
      </c>
      <c r="E55" s="296" t="s">
        <v>869</v>
      </c>
      <c r="F55" s="375">
        <v>116</v>
      </c>
    </row>
    <row r="56" spans="1:6">
      <c r="A56" s="252"/>
      <c r="B56" s="252" t="s">
        <v>449</v>
      </c>
      <c r="C56" s="296" t="s">
        <v>450</v>
      </c>
      <c r="D56" s="252" t="s">
        <v>975</v>
      </c>
      <c r="E56" s="296" t="s">
        <v>449</v>
      </c>
      <c r="F56" s="375">
        <v>0</v>
      </c>
    </row>
    <row r="57" spans="1:6">
      <c r="A57" s="252"/>
      <c r="B57" s="252"/>
      <c r="C57" s="358"/>
      <c r="D57" s="252"/>
      <c r="E57" s="296"/>
      <c r="F57" s="375" t="s">
        <v>1586</v>
      </c>
    </row>
    <row r="58" spans="1:6">
      <c r="A58" s="252"/>
      <c r="B58" s="252"/>
      <c r="C58" s="296" t="s">
        <v>1516</v>
      </c>
      <c r="D58" s="252"/>
      <c r="E58" s="296"/>
      <c r="F58" s="375">
        <v>3639.66</v>
      </c>
    </row>
    <row r="59" spans="1:6">
      <c r="A59" s="252" t="s">
        <v>975</v>
      </c>
      <c r="B59" s="252"/>
      <c r="C59" s="296"/>
      <c r="D59" s="252"/>
      <c r="E59" s="296"/>
      <c r="F59" s="375"/>
    </row>
    <row r="60" spans="1:6">
      <c r="A60" s="252"/>
      <c r="B60" s="252"/>
      <c r="C60" s="296"/>
      <c r="D60" s="252"/>
      <c r="E60" s="296"/>
      <c r="F60" s="375" t="s">
        <v>1586</v>
      </c>
    </row>
    <row r="61" spans="1:6">
      <c r="A61" s="356"/>
      <c r="B61" s="252" t="s">
        <v>2251</v>
      </c>
      <c r="C61" s="296" t="s">
        <v>2079</v>
      </c>
      <c r="D61" s="252"/>
      <c r="E61" s="296"/>
      <c r="F61" s="375"/>
    </row>
    <row r="62" spans="1:6">
      <c r="A62" s="252"/>
      <c r="B62" s="252"/>
      <c r="C62" s="296" t="s">
        <v>1586</v>
      </c>
      <c r="D62" s="252"/>
      <c r="E62" s="296"/>
      <c r="F62" s="375"/>
    </row>
    <row r="63" spans="1:6">
      <c r="A63" s="252">
        <v>0.20599999999999999</v>
      </c>
      <c r="B63" s="252" t="s">
        <v>861</v>
      </c>
      <c r="C63" s="296" t="s">
        <v>862</v>
      </c>
      <c r="D63" s="252">
        <v>6040</v>
      </c>
      <c r="E63" s="296" t="s">
        <v>861</v>
      </c>
      <c r="F63" s="375">
        <v>1244.24</v>
      </c>
    </row>
    <row r="64" spans="1:6">
      <c r="A64" s="252">
        <v>1</v>
      </c>
      <c r="B64" s="252" t="s">
        <v>869</v>
      </c>
      <c r="C64" s="296" t="s">
        <v>870</v>
      </c>
      <c r="D64" s="252">
        <v>2074.06</v>
      </c>
      <c r="E64" s="296" t="s">
        <v>869</v>
      </c>
      <c r="F64" s="375">
        <v>2074.06</v>
      </c>
    </row>
    <row r="65" spans="1:6">
      <c r="A65" s="252">
        <v>1</v>
      </c>
      <c r="B65" s="252" t="s">
        <v>869</v>
      </c>
      <c r="C65" s="296" t="s">
        <v>874</v>
      </c>
      <c r="D65" s="252">
        <v>116</v>
      </c>
      <c r="E65" s="296" t="s">
        <v>869</v>
      </c>
      <c r="F65" s="375">
        <v>116</v>
      </c>
    </row>
    <row r="66" spans="1:6">
      <c r="A66" s="252"/>
      <c r="B66" s="252" t="s">
        <v>449</v>
      </c>
      <c r="C66" s="296" t="s">
        <v>450</v>
      </c>
      <c r="D66" s="252" t="s">
        <v>975</v>
      </c>
      <c r="E66" s="296" t="s">
        <v>449</v>
      </c>
      <c r="F66" s="375">
        <v>0</v>
      </c>
    </row>
    <row r="67" spans="1:6">
      <c r="A67" s="252"/>
      <c r="B67" s="252"/>
      <c r="C67" s="252"/>
      <c r="D67" s="252"/>
      <c r="E67" s="296"/>
      <c r="F67" s="375" t="s">
        <v>1586</v>
      </c>
    </row>
    <row r="68" spans="1:6">
      <c r="A68" s="252"/>
      <c r="B68" s="252"/>
      <c r="C68" s="296" t="s">
        <v>1516</v>
      </c>
      <c r="D68" s="252"/>
      <c r="E68" s="296"/>
      <c r="F68" s="375">
        <v>3434.3</v>
      </c>
    </row>
    <row r="69" spans="1:6">
      <c r="A69" s="252"/>
      <c r="B69" s="252"/>
      <c r="C69" s="252"/>
      <c r="D69" s="252"/>
      <c r="E69" s="296"/>
      <c r="F69" s="375" t="s">
        <v>1586</v>
      </c>
    </row>
    <row r="70" spans="1:6">
      <c r="A70" s="252"/>
      <c r="B70" s="252" t="s">
        <v>2251</v>
      </c>
      <c r="C70" s="741" t="s">
        <v>1632</v>
      </c>
      <c r="D70" s="252"/>
      <c r="E70" s="296"/>
      <c r="F70" s="739"/>
    </row>
    <row r="71" spans="1:6">
      <c r="A71" s="252"/>
      <c r="B71" s="252"/>
      <c r="C71" s="252" t="s">
        <v>1586</v>
      </c>
      <c r="D71" s="252"/>
      <c r="E71" s="296"/>
      <c r="F71" s="375"/>
    </row>
    <row r="72" spans="1:6">
      <c r="A72" s="252">
        <v>0.18</v>
      </c>
      <c r="B72" s="252" t="s">
        <v>861</v>
      </c>
      <c r="C72" s="252" t="s">
        <v>862</v>
      </c>
      <c r="D72" s="252">
        <v>6040</v>
      </c>
      <c r="E72" s="296" t="s">
        <v>861</v>
      </c>
      <c r="F72" s="375">
        <v>1087.2</v>
      </c>
    </row>
    <row r="73" spans="1:6">
      <c r="A73" s="252">
        <v>1</v>
      </c>
      <c r="B73" s="252" t="s">
        <v>869</v>
      </c>
      <c r="C73" s="252" t="s">
        <v>870</v>
      </c>
      <c r="D73" s="252">
        <v>2074.06</v>
      </c>
      <c r="E73" s="296" t="s">
        <v>869</v>
      </c>
      <c r="F73" s="375">
        <v>2074.06</v>
      </c>
    </row>
    <row r="74" spans="1:6">
      <c r="A74" s="252">
        <v>1</v>
      </c>
      <c r="B74" s="252" t="s">
        <v>869</v>
      </c>
      <c r="C74" s="252" t="s">
        <v>874</v>
      </c>
      <c r="D74" s="252">
        <v>116</v>
      </c>
      <c r="E74" s="296" t="s">
        <v>869</v>
      </c>
      <c r="F74" s="375">
        <v>116</v>
      </c>
    </row>
    <row r="75" spans="1:6">
      <c r="A75" s="252"/>
      <c r="B75" s="252" t="s">
        <v>449</v>
      </c>
      <c r="C75" s="252" t="s">
        <v>450</v>
      </c>
      <c r="D75" s="252" t="s">
        <v>975</v>
      </c>
      <c r="E75" s="296" t="s">
        <v>449</v>
      </c>
      <c r="F75" s="375">
        <v>0</v>
      </c>
    </row>
    <row r="76" spans="1:6">
      <c r="A76" s="252"/>
      <c r="B76" s="252"/>
      <c r="C76" s="252"/>
      <c r="D76" s="252"/>
      <c r="E76" s="296"/>
      <c r="F76" s="375" t="s">
        <v>1586</v>
      </c>
    </row>
    <row r="77" spans="1:6">
      <c r="A77" s="252"/>
      <c r="B77" s="252"/>
      <c r="C77" s="252" t="s">
        <v>1516</v>
      </c>
      <c r="D77" s="252"/>
      <c r="E77" s="296"/>
      <c r="F77" s="375">
        <v>3277.26</v>
      </c>
    </row>
    <row r="78" spans="1:6">
      <c r="A78" s="252"/>
      <c r="B78" s="252"/>
      <c r="C78" s="252"/>
      <c r="D78" s="252"/>
      <c r="E78" s="296"/>
      <c r="F78" s="375" t="s">
        <v>1586</v>
      </c>
    </row>
    <row r="79" spans="1:6">
      <c r="A79" s="252">
        <v>44.1</v>
      </c>
      <c r="B79" s="252" t="s">
        <v>2251</v>
      </c>
      <c r="C79" s="252" t="s">
        <v>1596</v>
      </c>
      <c r="D79" s="252"/>
      <c r="E79" s="296"/>
      <c r="F79" s="375"/>
    </row>
    <row r="80" spans="1:6">
      <c r="A80" s="252"/>
      <c r="B80" s="252"/>
      <c r="C80" s="252" t="s">
        <v>1597</v>
      </c>
      <c r="D80" s="252"/>
      <c r="E80" s="296"/>
      <c r="F80" s="375"/>
    </row>
    <row r="81" spans="1:6">
      <c r="A81" s="252"/>
      <c r="B81" s="252"/>
      <c r="C81" s="252" t="s">
        <v>6429</v>
      </c>
      <c r="D81" s="252"/>
      <c r="E81" s="296"/>
      <c r="F81" s="375"/>
    </row>
    <row r="82" spans="1:6">
      <c r="A82" s="252"/>
      <c r="B82" s="252"/>
      <c r="C82" s="252" t="s">
        <v>1586</v>
      </c>
      <c r="D82" s="252"/>
      <c r="E82" s="296"/>
      <c r="F82" s="375"/>
    </row>
    <row r="83" spans="1:6">
      <c r="A83" s="252">
        <v>3</v>
      </c>
      <c r="B83" s="252" t="s">
        <v>1771</v>
      </c>
      <c r="C83" s="252" t="s">
        <v>2046</v>
      </c>
      <c r="D83" s="252">
        <v>120.54</v>
      </c>
      <c r="E83" s="296" t="s">
        <v>1771</v>
      </c>
      <c r="F83" s="375">
        <v>361.62</v>
      </c>
    </row>
    <row r="84" spans="1:6">
      <c r="A84" s="252">
        <v>1</v>
      </c>
      <c r="B84" s="252" t="s">
        <v>868</v>
      </c>
      <c r="C84" s="252" t="s">
        <v>2099</v>
      </c>
      <c r="D84" s="252">
        <v>76</v>
      </c>
      <c r="E84" s="296" t="s">
        <v>868</v>
      </c>
      <c r="F84" s="375">
        <v>76</v>
      </c>
    </row>
    <row r="85" spans="1:6">
      <c r="A85" s="252">
        <v>1</v>
      </c>
      <c r="B85" s="252" t="s">
        <v>868</v>
      </c>
      <c r="C85" s="252" t="s">
        <v>2100</v>
      </c>
      <c r="D85" s="252">
        <v>83.4</v>
      </c>
      <c r="E85" s="296" t="s">
        <v>868</v>
      </c>
      <c r="F85" s="375">
        <v>83.4</v>
      </c>
    </row>
    <row r="86" spans="1:6">
      <c r="A86" s="252">
        <v>2</v>
      </c>
      <c r="B86" s="252" t="s">
        <v>868</v>
      </c>
      <c r="C86" s="252" t="s">
        <v>2101</v>
      </c>
      <c r="D86" s="252">
        <v>21.6</v>
      </c>
      <c r="E86" s="296" t="s">
        <v>868</v>
      </c>
      <c r="F86" s="375">
        <v>43.2</v>
      </c>
    </row>
    <row r="87" spans="1:6">
      <c r="A87" s="252">
        <v>1</v>
      </c>
      <c r="B87" s="252" t="s">
        <v>868</v>
      </c>
      <c r="C87" s="252" t="s">
        <v>2102</v>
      </c>
      <c r="D87" s="252">
        <v>32.1</v>
      </c>
      <c r="E87" s="296" t="s">
        <v>868</v>
      </c>
      <c r="F87" s="375">
        <v>32.1</v>
      </c>
    </row>
    <row r="88" spans="1:6">
      <c r="A88" s="252">
        <v>0.5</v>
      </c>
      <c r="B88" s="252" t="s">
        <v>868</v>
      </c>
      <c r="C88" s="252" t="s">
        <v>2103</v>
      </c>
      <c r="D88" s="252">
        <v>866</v>
      </c>
      <c r="E88" s="296" t="s">
        <v>868</v>
      </c>
      <c r="F88" s="375">
        <v>433</v>
      </c>
    </row>
    <row r="89" spans="1:6">
      <c r="A89" s="252"/>
      <c r="B89" s="252" t="s">
        <v>449</v>
      </c>
      <c r="C89" s="252" t="s">
        <v>605</v>
      </c>
      <c r="D89" s="252"/>
      <c r="E89" s="296" t="s">
        <v>449</v>
      </c>
      <c r="F89" s="375"/>
    </row>
    <row r="90" spans="1:6">
      <c r="A90" s="252"/>
      <c r="B90" s="252"/>
      <c r="C90" s="252" t="s">
        <v>20</v>
      </c>
      <c r="D90" s="252"/>
      <c r="E90" s="296"/>
      <c r="F90" s="375"/>
    </row>
    <row r="91" spans="1:6">
      <c r="A91" s="252"/>
      <c r="B91" s="252"/>
      <c r="C91" s="252"/>
      <c r="D91" s="252"/>
      <c r="E91" s="296"/>
      <c r="F91" s="375" t="s">
        <v>1586</v>
      </c>
    </row>
    <row r="92" spans="1:6">
      <c r="A92" s="252"/>
      <c r="B92" s="252"/>
      <c r="C92" s="252" t="s">
        <v>1317</v>
      </c>
      <c r="D92" s="252"/>
      <c r="E92" s="296"/>
      <c r="F92" s="375">
        <v>1029.32</v>
      </c>
    </row>
    <row r="93" spans="1:6">
      <c r="A93" s="252" t="s">
        <v>975</v>
      </c>
      <c r="B93" s="252"/>
      <c r="C93" s="252"/>
      <c r="D93" s="252"/>
      <c r="E93" s="296"/>
      <c r="F93" s="375"/>
    </row>
    <row r="94" spans="1:6">
      <c r="A94" s="252"/>
      <c r="B94" s="252"/>
      <c r="C94" s="252"/>
      <c r="D94" s="252"/>
      <c r="E94" s="296"/>
      <c r="F94" s="375" t="s">
        <v>1586</v>
      </c>
    </row>
    <row r="95" spans="1:6">
      <c r="A95" s="252"/>
      <c r="B95" s="252"/>
      <c r="C95" s="252" t="s">
        <v>1545</v>
      </c>
      <c r="D95" s="252"/>
      <c r="E95" s="296"/>
      <c r="F95" s="742">
        <v>343.11</v>
      </c>
    </row>
    <row r="96" spans="1:6">
      <c r="A96" s="252"/>
      <c r="B96" s="252"/>
      <c r="C96" s="252"/>
      <c r="D96" s="252"/>
      <c r="E96" s="296"/>
      <c r="F96" s="375"/>
    </row>
    <row r="97" spans="1:6">
      <c r="A97" s="252">
        <v>52</v>
      </c>
      <c r="B97" s="252" t="s">
        <v>2251</v>
      </c>
      <c r="C97" s="252" t="s">
        <v>99</v>
      </c>
      <c r="D97" s="252"/>
      <c r="E97" s="296"/>
      <c r="F97" s="375"/>
    </row>
    <row r="98" spans="1:6">
      <c r="A98" s="252"/>
      <c r="B98" s="252"/>
      <c r="C98" s="252" t="s">
        <v>2169</v>
      </c>
      <c r="D98" s="252"/>
      <c r="E98" s="296"/>
      <c r="F98" s="375"/>
    </row>
    <row r="99" spans="1:6">
      <c r="A99" s="252"/>
      <c r="B99" s="252"/>
      <c r="C99" s="252" t="s">
        <v>2170</v>
      </c>
      <c r="D99" s="252"/>
      <c r="E99" s="296"/>
      <c r="F99" s="375"/>
    </row>
    <row r="100" spans="1:6">
      <c r="A100" s="252"/>
      <c r="B100" s="252"/>
      <c r="C100" s="252" t="s">
        <v>1406</v>
      </c>
      <c r="D100" s="252"/>
      <c r="E100" s="296"/>
      <c r="F100" s="375"/>
    </row>
    <row r="101" spans="1:6">
      <c r="A101" s="252"/>
      <c r="B101" s="252"/>
      <c r="C101" s="252" t="s">
        <v>1407</v>
      </c>
      <c r="D101" s="252"/>
      <c r="E101" s="296"/>
      <c r="F101" s="375"/>
    </row>
    <row r="102" spans="1:6">
      <c r="A102" s="252"/>
      <c r="B102" s="252"/>
      <c r="C102" s="252" t="s">
        <v>1351</v>
      </c>
      <c r="D102" s="252"/>
      <c r="E102" s="296"/>
      <c r="F102" s="375"/>
    </row>
    <row r="103" spans="1:6">
      <c r="A103" s="252"/>
      <c r="B103" s="252"/>
      <c r="C103" s="252" t="s">
        <v>1352</v>
      </c>
      <c r="D103" s="252"/>
      <c r="E103" s="296"/>
      <c r="F103" s="375"/>
    </row>
    <row r="104" spans="1:6">
      <c r="A104" s="252"/>
      <c r="B104" s="252"/>
      <c r="C104" s="252" t="s">
        <v>710</v>
      </c>
      <c r="D104" s="252"/>
      <c r="E104" s="296"/>
      <c r="F104" s="375"/>
    </row>
    <row r="105" spans="1:6">
      <c r="A105" s="252"/>
      <c r="B105" s="252"/>
      <c r="C105" s="252" t="s">
        <v>2055</v>
      </c>
      <c r="D105" s="252" t="s">
        <v>2055</v>
      </c>
      <c r="E105" s="296"/>
      <c r="F105" s="375"/>
    </row>
    <row r="106" spans="1:6">
      <c r="A106" s="252"/>
      <c r="B106" s="252" t="s">
        <v>2251</v>
      </c>
      <c r="C106" s="252" t="s">
        <v>918</v>
      </c>
      <c r="D106" s="252"/>
      <c r="E106" s="296"/>
      <c r="F106" s="375"/>
    </row>
    <row r="107" spans="1:6">
      <c r="A107" s="252"/>
      <c r="B107" s="252"/>
      <c r="C107" s="252" t="s">
        <v>806</v>
      </c>
      <c r="D107" s="252"/>
      <c r="E107" s="296"/>
      <c r="F107" s="375"/>
    </row>
    <row r="108" spans="1:6">
      <c r="A108" s="252"/>
      <c r="B108" s="252" t="s">
        <v>316</v>
      </c>
      <c r="C108" s="252" t="s">
        <v>807</v>
      </c>
      <c r="D108" s="252"/>
      <c r="E108" s="296"/>
      <c r="F108" s="375"/>
    </row>
    <row r="109" spans="1:6">
      <c r="A109" s="252"/>
      <c r="B109" s="252"/>
      <c r="C109" s="252" t="s">
        <v>1586</v>
      </c>
      <c r="D109" s="252"/>
      <c r="E109" s="296"/>
      <c r="F109" s="375"/>
    </row>
    <row r="110" spans="1:6">
      <c r="A110" s="252">
        <v>1</v>
      </c>
      <c r="B110" s="252" t="s">
        <v>826</v>
      </c>
      <c r="C110" s="252" t="s">
        <v>618</v>
      </c>
      <c r="D110" s="252">
        <v>26</v>
      </c>
      <c r="E110" s="296" t="s">
        <v>826</v>
      </c>
      <c r="F110" s="375">
        <v>26</v>
      </c>
    </row>
    <row r="111" spans="1:6">
      <c r="A111" s="252">
        <v>1</v>
      </c>
      <c r="B111" s="252" t="s">
        <v>449</v>
      </c>
      <c r="C111" s="252" t="s">
        <v>1801</v>
      </c>
      <c r="D111" s="252">
        <v>18.2</v>
      </c>
      <c r="E111" s="296" t="s">
        <v>449</v>
      </c>
      <c r="F111" s="375">
        <v>18.2</v>
      </c>
    </row>
    <row r="112" spans="1:6">
      <c r="A112" s="252">
        <v>1</v>
      </c>
      <c r="B112" s="252" t="s">
        <v>826</v>
      </c>
      <c r="C112" s="252" t="s">
        <v>161</v>
      </c>
      <c r="D112" s="252">
        <v>185.41</v>
      </c>
      <c r="E112" s="296" t="s">
        <v>826</v>
      </c>
      <c r="F112" s="375">
        <v>185.41</v>
      </c>
    </row>
    <row r="113" spans="1:6">
      <c r="A113" s="252"/>
      <c r="B113" s="252"/>
      <c r="C113" s="252"/>
      <c r="D113" s="252" t="s">
        <v>975</v>
      </c>
      <c r="E113" s="296"/>
      <c r="F113" s="375" t="s">
        <v>1586</v>
      </c>
    </row>
    <row r="114" spans="1:6">
      <c r="A114" s="252"/>
      <c r="B114" s="252"/>
      <c r="C114" s="252" t="s">
        <v>377</v>
      </c>
      <c r="D114" s="252"/>
      <c r="E114" s="296"/>
      <c r="F114" s="742">
        <v>229.61</v>
      </c>
    </row>
    <row r="115" spans="1:6">
      <c r="A115" s="252"/>
      <c r="B115" s="252"/>
      <c r="C115" s="252" t="s">
        <v>975</v>
      </c>
      <c r="D115" s="252" t="s">
        <v>975</v>
      </c>
      <c r="E115" s="296"/>
      <c r="F115" s="375" t="s">
        <v>2055</v>
      </c>
    </row>
    <row r="116" spans="1:6">
      <c r="A116" s="252"/>
      <c r="B116" s="252" t="s">
        <v>520</v>
      </c>
      <c r="C116" s="252" t="s">
        <v>742</v>
      </c>
      <c r="D116" s="252"/>
      <c r="E116" s="296"/>
      <c r="F116" s="375"/>
    </row>
    <row r="117" spans="1:6">
      <c r="A117" s="252"/>
      <c r="B117" s="252"/>
      <c r="C117" s="252" t="s">
        <v>1586</v>
      </c>
      <c r="D117" s="252"/>
      <c r="E117" s="296"/>
      <c r="F117" s="375"/>
    </row>
    <row r="118" spans="1:6">
      <c r="A118" s="252">
        <v>1</v>
      </c>
      <c r="B118" s="252" t="s">
        <v>826</v>
      </c>
      <c r="C118" s="252" t="s">
        <v>743</v>
      </c>
      <c r="D118" s="252">
        <v>35</v>
      </c>
      <c r="E118" s="296" t="s">
        <v>826</v>
      </c>
      <c r="F118" s="375">
        <v>35</v>
      </c>
    </row>
    <row r="119" spans="1:6">
      <c r="A119" s="252">
        <v>1</v>
      </c>
      <c r="B119" s="252" t="s">
        <v>449</v>
      </c>
      <c r="C119" s="252" t="s">
        <v>893</v>
      </c>
      <c r="D119" s="252">
        <v>14</v>
      </c>
      <c r="E119" s="296" t="s">
        <v>449</v>
      </c>
      <c r="F119" s="375">
        <v>14</v>
      </c>
    </row>
    <row r="120" spans="1:6">
      <c r="A120" s="252">
        <v>1</v>
      </c>
      <c r="B120" s="252" t="s">
        <v>826</v>
      </c>
      <c r="C120" s="252" t="s">
        <v>161</v>
      </c>
      <c r="D120" s="252">
        <v>185.4</v>
      </c>
      <c r="E120" s="296" t="s">
        <v>826</v>
      </c>
      <c r="F120" s="375">
        <v>185.4</v>
      </c>
    </row>
    <row r="121" spans="1:6">
      <c r="A121" s="252"/>
      <c r="B121" s="252"/>
      <c r="C121" s="252"/>
      <c r="D121" s="252" t="s">
        <v>975</v>
      </c>
      <c r="E121" s="296"/>
      <c r="F121" s="375" t="s">
        <v>1586</v>
      </c>
    </row>
    <row r="122" spans="1:6">
      <c r="A122" s="252"/>
      <c r="B122" s="252"/>
      <c r="C122" s="252" t="s">
        <v>377</v>
      </c>
      <c r="D122" s="252"/>
      <c r="E122" s="296"/>
      <c r="F122" s="742">
        <v>234.4</v>
      </c>
    </row>
    <row r="123" spans="1:6">
      <c r="A123" s="252"/>
      <c r="B123" s="252"/>
      <c r="C123" s="252"/>
      <c r="D123" s="252" t="s">
        <v>975</v>
      </c>
      <c r="E123" s="296"/>
      <c r="F123" s="375" t="s">
        <v>2055</v>
      </c>
    </row>
    <row r="124" spans="1:6">
      <c r="A124" s="252"/>
      <c r="B124" s="252" t="s">
        <v>1907</v>
      </c>
      <c r="C124" s="252" t="s">
        <v>375</v>
      </c>
      <c r="D124" s="252"/>
      <c r="E124" s="296"/>
      <c r="F124" s="375"/>
    </row>
    <row r="125" spans="1:6">
      <c r="A125" s="252"/>
      <c r="B125" s="252"/>
      <c r="C125" s="252" t="s">
        <v>1586</v>
      </c>
      <c r="D125" s="252"/>
      <c r="E125" s="296"/>
      <c r="F125" s="375"/>
    </row>
    <row r="126" spans="1:6">
      <c r="A126" s="252">
        <v>1</v>
      </c>
      <c r="B126" s="252" t="s">
        <v>826</v>
      </c>
      <c r="C126" s="252" t="s">
        <v>1671</v>
      </c>
      <c r="D126" s="252">
        <v>52</v>
      </c>
      <c r="E126" s="296" t="s">
        <v>826</v>
      </c>
      <c r="F126" s="375">
        <v>52</v>
      </c>
    </row>
    <row r="127" spans="1:6">
      <c r="A127" s="252">
        <v>1</v>
      </c>
      <c r="B127" s="252" t="s">
        <v>449</v>
      </c>
      <c r="C127" s="252" t="s">
        <v>1672</v>
      </c>
      <c r="D127" s="252">
        <v>10.4</v>
      </c>
      <c r="E127" s="296" t="s">
        <v>449</v>
      </c>
      <c r="F127" s="375">
        <v>10.4</v>
      </c>
    </row>
    <row r="128" spans="1:6">
      <c r="A128" s="252">
        <v>1</v>
      </c>
      <c r="B128" s="252" t="s">
        <v>826</v>
      </c>
      <c r="C128" s="252" t="s">
        <v>161</v>
      </c>
      <c r="D128" s="252">
        <v>189.61</v>
      </c>
      <c r="E128" s="296" t="s">
        <v>826</v>
      </c>
      <c r="F128" s="375">
        <v>189.61</v>
      </c>
    </row>
    <row r="129" spans="1:6">
      <c r="A129" s="252"/>
      <c r="B129" s="252"/>
      <c r="C129" s="252"/>
      <c r="D129" s="252" t="s">
        <v>975</v>
      </c>
      <c r="E129" s="296"/>
      <c r="F129" s="375" t="s">
        <v>1586</v>
      </c>
    </row>
    <row r="130" spans="1:6">
      <c r="A130" s="252"/>
      <c r="B130" s="252"/>
      <c r="C130" s="252" t="s">
        <v>377</v>
      </c>
      <c r="D130" s="252"/>
      <c r="E130" s="296"/>
      <c r="F130" s="742">
        <v>252.01</v>
      </c>
    </row>
    <row r="131" spans="1:6">
      <c r="A131" s="252"/>
      <c r="B131" s="252"/>
      <c r="C131" s="252"/>
      <c r="D131" s="252" t="s">
        <v>975</v>
      </c>
      <c r="E131" s="296"/>
      <c r="F131" s="375" t="s">
        <v>2055</v>
      </c>
    </row>
    <row r="132" spans="1:6" ht="24" customHeight="1">
      <c r="A132" s="252"/>
      <c r="B132" s="252"/>
      <c r="C132" s="252" t="s">
        <v>5303</v>
      </c>
      <c r="D132" s="252">
        <v>3325</v>
      </c>
      <c r="E132" s="296" t="s">
        <v>609</v>
      </c>
      <c r="F132" s="375"/>
    </row>
    <row r="133" spans="1:6">
      <c r="A133" s="252"/>
      <c r="B133" s="252"/>
      <c r="C133" s="252"/>
      <c r="D133" s="252"/>
      <c r="E133" s="296"/>
      <c r="F133" s="375"/>
    </row>
    <row r="134" spans="1:6">
      <c r="A134" s="252"/>
      <c r="B134" s="252"/>
      <c r="C134" s="252" t="s">
        <v>3615</v>
      </c>
      <c r="D134" s="252"/>
      <c r="E134" s="296" t="s">
        <v>3858</v>
      </c>
      <c r="F134" s="375"/>
    </row>
    <row r="135" spans="1:6">
      <c r="A135" s="252"/>
      <c r="B135" s="252"/>
      <c r="C135" s="252"/>
      <c r="D135" s="252"/>
      <c r="E135" s="296"/>
      <c r="F135" s="375"/>
    </row>
    <row r="136" spans="1:6">
      <c r="A136" s="252"/>
      <c r="B136" s="252"/>
      <c r="C136" s="252"/>
      <c r="D136" s="252"/>
      <c r="E136" s="296"/>
      <c r="F136" s="375"/>
    </row>
    <row r="137" spans="1:6">
      <c r="A137" s="252">
        <v>10</v>
      </c>
      <c r="B137" s="252" t="s">
        <v>609</v>
      </c>
      <c r="C137" s="252" t="s">
        <v>6397</v>
      </c>
      <c r="D137" s="252">
        <v>421.3</v>
      </c>
      <c r="E137" s="296" t="s">
        <v>609</v>
      </c>
      <c r="F137" s="375">
        <v>4213</v>
      </c>
    </row>
    <row r="138" spans="1:6">
      <c r="A138" s="252">
        <v>0.21</v>
      </c>
      <c r="B138" s="252" t="s">
        <v>869</v>
      </c>
      <c r="C138" s="252" t="s">
        <v>1876</v>
      </c>
      <c r="D138" s="252">
        <v>5089.26</v>
      </c>
      <c r="E138" s="296" t="s">
        <v>869</v>
      </c>
      <c r="F138" s="375">
        <v>1068.74</v>
      </c>
    </row>
    <row r="139" spans="1:6">
      <c r="A139" s="252">
        <v>1.1000000000000001</v>
      </c>
      <c r="B139" s="252" t="s">
        <v>769</v>
      </c>
      <c r="C139" s="252" t="s">
        <v>2009</v>
      </c>
      <c r="D139" s="252">
        <v>999</v>
      </c>
      <c r="E139" s="296" t="s">
        <v>769</v>
      </c>
      <c r="F139" s="375">
        <v>1098.9000000000001</v>
      </c>
    </row>
    <row r="140" spans="1:6">
      <c r="A140" s="252">
        <v>1.1000000000000001</v>
      </c>
      <c r="B140" s="252" t="s">
        <v>769</v>
      </c>
      <c r="C140" s="252" t="s">
        <v>1712</v>
      </c>
      <c r="D140" s="252">
        <v>932</v>
      </c>
      <c r="E140" s="296" t="s">
        <v>769</v>
      </c>
      <c r="F140" s="375">
        <v>1025.2</v>
      </c>
    </row>
    <row r="141" spans="1:6">
      <c r="A141" s="252">
        <v>2.2000000000000002</v>
      </c>
      <c r="B141" s="252" t="s">
        <v>769</v>
      </c>
      <c r="C141" s="252" t="s">
        <v>1902</v>
      </c>
      <c r="D141" s="252">
        <v>651</v>
      </c>
      <c r="E141" s="296" t="s">
        <v>769</v>
      </c>
      <c r="F141" s="375">
        <v>1432.2</v>
      </c>
    </row>
    <row r="142" spans="1:6">
      <c r="A142" s="252">
        <v>2.2000000000000002</v>
      </c>
      <c r="B142" s="252" t="s">
        <v>769</v>
      </c>
      <c r="C142" s="252" t="s">
        <v>320</v>
      </c>
      <c r="D142" s="252">
        <v>534</v>
      </c>
      <c r="E142" s="296" t="s">
        <v>769</v>
      </c>
      <c r="F142" s="375">
        <v>1174.8</v>
      </c>
    </row>
    <row r="143" spans="1:6">
      <c r="A143" s="252">
        <v>20</v>
      </c>
      <c r="B143" s="252" t="s">
        <v>1645</v>
      </c>
      <c r="C143" s="252" t="s">
        <v>862</v>
      </c>
      <c r="D143" s="252">
        <v>6040</v>
      </c>
      <c r="E143" s="296" t="s">
        <v>861</v>
      </c>
      <c r="F143" s="375">
        <v>120.8</v>
      </c>
    </row>
    <row r="144" spans="1:6">
      <c r="A144" s="252">
        <v>2</v>
      </c>
      <c r="B144" s="252" t="s">
        <v>1645</v>
      </c>
      <c r="C144" s="252" t="s">
        <v>1528</v>
      </c>
      <c r="D144" s="252">
        <v>36.1</v>
      </c>
      <c r="E144" s="296" t="s">
        <v>1645</v>
      </c>
      <c r="F144" s="375">
        <v>72.2</v>
      </c>
    </row>
    <row r="145" spans="1:6">
      <c r="A145" s="252">
        <v>1.6</v>
      </c>
      <c r="B145" s="252" t="s">
        <v>769</v>
      </c>
      <c r="C145" s="252" t="s">
        <v>1712</v>
      </c>
      <c r="D145" s="252">
        <v>932</v>
      </c>
      <c r="E145" s="296" t="s">
        <v>769</v>
      </c>
      <c r="F145" s="375">
        <v>1491.2</v>
      </c>
    </row>
    <row r="146" spans="1:6">
      <c r="A146" s="252">
        <v>0.5</v>
      </c>
      <c r="B146" s="252" t="s">
        <v>769</v>
      </c>
      <c r="C146" s="252" t="s">
        <v>1902</v>
      </c>
      <c r="D146" s="252">
        <v>651</v>
      </c>
      <c r="E146" s="296" t="s">
        <v>769</v>
      </c>
      <c r="F146" s="375">
        <v>325.5</v>
      </c>
    </row>
    <row r="147" spans="1:6">
      <c r="A147" s="252">
        <v>1.1000000000000001</v>
      </c>
      <c r="B147" s="252" t="s">
        <v>769</v>
      </c>
      <c r="C147" s="252" t="s">
        <v>320</v>
      </c>
      <c r="D147" s="252">
        <v>534</v>
      </c>
      <c r="E147" s="296" t="s">
        <v>769</v>
      </c>
      <c r="F147" s="375">
        <v>587.4</v>
      </c>
    </row>
    <row r="148" spans="1:6">
      <c r="A148" s="252"/>
      <c r="B148" s="252" t="s">
        <v>449</v>
      </c>
      <c r="C148" s="252" t="s">
        <v>450</v>
      </c>
      <c r="D148" s="252"/>
      <c r="E148" s="296" t="s">
        <v>449</v>
      </c>
      <c r="F148" s="375">
        <v>0</v>
      </c>
    </row>
    <row r="149" spans="1:6">
      <c r="A149" s="252">
        <v>465</v>
      </c>
      <c r="B149" s="252"/>
      <c r="C149" s="252"/>
      <c r="D149" s="252"/>
      <c r="E149" s="296"/>
      <c r="F149" s="375"/>
    </row>
    <row r="150" spans="1:6">
      <c r="A150" s="252"/>
      <c r="B150" s="252"/>
      <c r="C150" s="252" t="s">
        <v>441</v>
      </c>
      <c r="D150" s="252"/>
      <c r="E150" s="296"/>
      <c r="F150" s="375">
        <v>12609.94</v>
      </c>
    </row>
    <row r="151" spans="1:6">
      <c r="A151" s="252"/>
      <c r="B151" s="252"/>
      <c r="C151" s="252"/>
      <c r="D151" s="252"/>
      <c r="E151" s="296"/>
      <c r="F151" s="375" t="s">
        <v>1586</v>
      </c>
    </row>
    <row r="152" spans="1:6">
      <c r="A152" s="252"/>
      <c r="B152" s="252"/>
      <c r="C152" s="252" t="s">
        <v>552</v>
      </c>
      <c r="D152" s="252"/>
      <c r="E152" s="296"/>
      <c r="F152" s="375">
        <v>1260.99</v>
      </c>
    </row>
    <row r="153" spans="1:6">
      <c r="A153" s="252"/>
      <c r="B153" s="252"/>
      <c r="C153" s="252"/>
      <c r="D153" s="252"/>
      <c r="E153" s="296"/>
      <c r="F153" s="375"/>
    </row>
    <row r="154" spans="1:6">
      <c r="A154" s="252">
        <v>29.5</v>
      </c>
      <c r="B154" s="252" t="s">
        <v>2251</v>
      </c>
      <c r="C154" s="252" t="s">
        <v>1813</v>
      </c>
      <c r="D154" s="252"/>
      <c r="E154" s="296"/>
      <c r="F154" s="375"/>
    </row>
    <row r="155" spans="1:6">
      <c r="A155" s="252"/>
      <c r="B155" s="252"/>
      <c r="C155" s="252" t="s">
        <v>858</v>
      </c>
      <c r="D155" s="252"/>
      <c r="E155" s="296"/>
      <c r="F155" s="375"/>
    </row>
    <row r="156" spans="1:6">
      <c r="A156" s="252"/>
      <c r="B156" s="252"/>
      <c r="C156" s="252" t="s">
        <v>1936</v>
      </c>
      <c r="D156" s="252"/>
      <c r="E156" s="296"/>
      <c r="F156" s="375"/>
    </row>
    <row r="157" spans="1:6">
      <c r="A157" s="252"/>
      <c r="B157" s="252"/>
      <c r="C157" s="252" t="s">
        <v>1586</v>
      </c>
      <c r="D157" s="252" t="s">
        <v>1586</v>
      </c>
      <c r="E157" s="296"/>
      <c r="F157" s="375"/>
    </row>
    <row r="158" spans="1:6">
      <c r="A158" s="252">
        <v>10</v>
      </c>
      <c r="B158" s="252" t="s">
        <v>609</v>
      </c>
      <c r="C158" s="252" t="s">
        <v>1937</v>
      </c>
      <c r="D158" s="252">
        <v>377.86</v>
      </c>
      <c r="E158" s="296" t="s">
        <v>609</v>
      </c>
      <c r="F158" s="375">
        <v>3778.6</v>
      </c>
    </row>
    <row r="159" spans="1:6">
      <c r="A159" s="252">
        <v>0.21</v>
      </c>
      <c r="B159" s="252" t="s">
        <v>869</v>
      </c>
      <c r="C159" s="252" t="s">
        <v>1876</v>
      </c>
      <c r="D159" s="252">
        <v>5089.26</v>
      </c>
      <c r="E159" s="296" t="s">
        <v>869</v>
      </c>
      <c r="F159" s="375">
        <v>1068.74</v>
      </c>
    </row>
    <row r="160" spans="1:6">
      <c r="A160" s="252"/>
      <c r="B160" s="252"/>
      <c r="C160" s="252" t="s">
        <v>1877</v>
      </c>
      <c r="D160" s="252" t="s">
        <v>975</v>
      </c>
      <c r="E160" s="296"/>
      <c r="F160" s="375" t="s">
        <v>975</v>
      </c>
    </row>
    <row r="161" spans="1:6">
      <c r="A161" s="252">
        <v>1.1000000000000001</v>
      </c>
      <c r="B161" s="252" t="s">
        <v>769</v>
      </c>
      <c r="C161" s="252" t="s">
        <v>2009</v>
      </c>
      <c r="D161" s="252">
        <v>999</v>
      </c>
      <c r="E161" s="296" t="s">
        <v>769</v>
      </c>
      <c r="F161" s="375">
        <v>1098.9000000000001</v>
      </c>
    </row>
    <row r="162" spans="1:6">
      <c r="A162" s="252">
        <v>1.1000000000000001</v>
      </c>
      <c r="B162" s="252" t="s">
        <v>769</v>
      </c>
      <c r="C162" s="252" t="s">
        <v>1712</v>
      </c>
      <c r="D162" s="252">
        <v>932</v>
      </c>
      <c r="E162" s="296" t="s">
        <v>769</v>
      </c>
      <c r="F162" s="375">
        <v>1025.2</v>
      </c>
    </row>
    <row r="163" spans="1:6">
      <c r="A163" s="252">
        <v>2.2000000000000002</v>
      </c>
      <c r="B163" s="252" t="s">
        <v>769</v>
      </c>
      <c r="C163" s="252" t="s">
        <v>1902</v>
      </c>
      <c r="D163" s="252">
        <v>651</v>
      </c>
      <c r="E163" s="296" t="s">
        <v>769</v>
      </c>
      <c r="F163" s="375">
        <v>1432.2</v>
      </c>
    </row>
    <row r="164" spans="1:6">
      <c r="A164" s="252">
        <v>2.2000000000000002</v>
      </c>
      <c r="B164" s="252" t="s">
        <v>769</v>
      </c>
      <c r="C164" s="252" t="s">
        <v>320</v>
      </c>
      <c r="D164" s="252">
        <v>534</v>
      </c>
      <c r="E164" s="296" t="s">
        <v>769</v>
      </c>
      <c r="F164" s="375">
        <v>1174.8</v>
      </c>
    </row>
    <row r="165" spans="1:6">
      <c r="A165" s="252">
        <v>20</v>
      </c>
      <c r="B165" s="252" t="s">
        <v>1645</v>
      </c>
      <c r="C165" s="252" t="s">
        <v>862</v>
      </c>
      <c r="D165" s="252">
        <v>6040</v>
      </c>
      <c r="E165" s="296" t="s">
        <v>861</v>
      </c>
      <c r="F165" s="375">
        <v>120.8</v>
      </c>
    </row>
    <row r="166" spans="1:6">
      <c r="A166" s="252">
        <v>2</v>
      </c>
      <c r="B166" s="252" t="s">
        <v>1645</v>
      </c>
      <c r="C166" s="252" t="s">
        <v>4228</v>
      </c>
      <c r="D166" s="252">
        <v>36.1</v>
      </c>
      <c r="E166" s="296" t="s">
        <v>1645</v>
      </c>
      <c r="F166" s="375">
        <v>72.2</v>
      </c>
    </row>
    <row r="167" spans="1:6">
      <c r="A167" s="252">
        <v>1.6</v>
      </c>
      <c r="B167" s="252" t="s">
        <v>769</v>
      </c>
      <c r="C167" s="252" t="s">
        <v>1712</v>
      </c>
      <c r="D167" s="252">
        <v>932</v>
      </c>
      <c r="E167" s="296" t="s">
        <v>769</v>
      </c>
      <c r="F167" s="375">
        <v>1491.2</v>
      </c>
    </row>
    <row r="168" spans="1:6">
      <c r="A168" s="252">
        <v>0.5</v>
      </c>
      <c r="B168" s="252" t="s">
        <v>769</v>
      </c>
      <c r="C168" s="252" t="s">
        <v>1902</v>
      </c>
      <c r="D168" s="252">
        <v>651</v>
      </c>
      <c r="E168" s="296" t="s">
        <v>769</v>
      </c>
      <c r="F168" s="375">
        <v>325.5</v>
      </c>
    </row>
    <row r="169" spans="1:6">
      <c r="A169" s="252">
        <v>1.1000000000000001</v>
      </c>
      <c r="B169" s="252" t="s">
        <v>769</v>
      </c>
      <c r="C169" s="252" t="s">
        <v>320</v>
      </c>
      <c r="D169" s="252">
        <v>534</v>
      </c>
      <c r="E169" s="296" t="s">
        <v>769</v>
      </c>
      <c r="F169" s="375">
        <v>587.4</v>
      </c>
    </row>
    <row r="170" spans="1:6">
      <c r="A170" s="252"/>
      <c r="B170" s="252" t="s">
        <v>449</v>
      </c>
      <c r="C170" s="252" t="s">
        <v>450</v>
      </c>
      <c r="D170" s="252"/>
      <c r="E170" s="296" t="s">
        <v>449</v>
      </c>
      <c r="F170" s="375">
        <v>0</v>
      </c>
    </row>
    <row r="171" spans="1:6">
      <c r="A171" s="252"/>
      <c r="B171" s="252"/>
      <c r="C171" s="252"/>
      <c r="D171" s="252"/>
      <c r="E171" s="296"/>
      <c r="F171" s="375" t="s">
        <v>1586</v>
      </c>
    </row>
    <row r="172" spans="1:6">
      <c r="A172" s="252"/>
      <c r="B172" s="252"/>
      <c r="C172" s="252" t="s">
        <v>441</v>
      </c>
      <c r="D172" s="252"/>
      <c r="E172" s="296"/>
      <c r="F172" s="375">
        <v>12175.54</v>
      </c>
    </row>
    <row r="173" spans="1:6">
      <c r="A173" s="252"/>
      <c r="B173" s="252"/>
      <c r="C173" s="252"/>
      <c r="D173" s="252"/>
      <c r="E173" s="296"/>
      <c r="F173" s="375" t="s">
        <v>1586</v>
      </c>
    </row>
    <row r="174" spans="1:6">
      <c r="A174" s="252"/>
      <c r="B174" s="252"/>
      <c r="C174" s="252" t="s">
        <v>552</v>
      </c>
      <c r="D174" s="252"/>
      <c r="E174" s="296"/>
      <c r="F174" s="742">
        <v>1217.55</v>
      </c>
    </row>
    <row r="175" spans="1:6">
      <c r="A175" s="252"/>
      <c r="B175" s="252"/>
      <c r="C175" s="252"/>
      <c r="D175" s="252"/>
      <c r="E175" s="296"/>
      <c r="F175" s="375"/>
    </row>
    <row r="176" spans="1:6">
      <c r="A176" s="252">
        <v>29.4</v>
      </c>
      <c r="B176" s="252" t="s">
        <v>2251</v>
      </c>
      <c r="C176" s="252" t="s">
        <v>1091</v>
      </c>
      <c r="D176" s="252"/>
      <c r="E176" s="296"/>
      <c r="F176" s="375"/>
    </row>
    <row r="177" spans="1:6">
      <c r="A177" s="252"/>
      <c r="B177" s="252"/>
      <c r="C177" s="252" t="s">
        <v>1092</v>
      </c>
      <c r="D177" s="252"/>
      <c r="E177" s="296"/>
      <c r="F177" s="375"/>
    </row>
    <row r="178" spans="1:6">
      <c r="A178" s="252"/>
      <c r="B178" s="252"/>
      <c r="C178" s="252" t="s">
        <v>1586</v>
      </c>
      <c r="D178" s="252"/>
      <c r="E178" s="296"/>
      <c r="F178" s="375"/>
    </row>
    <row r="179" spans="1:6">
      <c r="A179" s="252">
        <v>1.86</v>
      </c>
      <c r="B179" s="252" t="s">
        <v>609</v>
      </c>
      <c r="C179" s="252" t="s">
        <v>1093</v>
      </c>
      <c r="D179" s="252">
        <v>415</v>
      </c>
      <c r="E179" s="296" t="s">
        <v>609</v>
      </c>
      <c r="F179" s="375">
        <v>771.9</v>
      </c>
    </row>
    <row r="180" spans="1:6">
      <c r="A180" s="252">
        <v>0.4</v>
      </c>
      <c r="B180" s="252" t="s">
        <v>1645</v>
      </c>
      <c r="C180" s="252" t="s">
        <v>2081</v>
      </c>
      <c r="D180" s="252">
        <v>36.1</v>
      </c>
      <c r="E180" s="296" t="s">
        <v>1645</v>
      </c>
      <c r="F180" s="375">
        <v>14.44</v>
      </c>
    </row>
    <row r="181" spans="1:6">
      <c r="A181" s="252">
        <v>0.02</v>
      </c>
      <c r="B181" s="252" t="s">
        <v>869</v>
      </c>
      <c r="C181" s="252" t="s">
        <v>417</v>
      </c>
      <c r="D181" s="252">
        <v>6538.86</v>
      </c>
      <c r="E181" s="296" t="s">
        <v>869</v>
      </c>
      <c r="F181" s="375">
        <v>130.78</v>
      </c>
    </row>
    <row r="182" spans="1:6">
      <c r="A182" s="252">
        <v>1</v>
      </c>
      <c r="B182" s="252" t="s">
        <v>769</v>
      </c>
      <c r="C182" s="252" t="s">
        <v>2009</v>
      </c>
      <c r="D182" s="252">
        <v>999</v>
      </c>
      <c r="E182" s="296" t="s">
        <v>769</v>
      </c>
      <c r="F182" s="375">
        <v>999</v>
      </c>
    </row>
    <row r="183" spans="1:6">
      <c r="A183" s="252">
        <v>1</v>
      </c>
      <c r="B183" s="252" t="s">
        <v>769</v>
      </c>
      <c r="C183" s="252" t="s">
        <v>1688</v>
      </c>
      <c r="D183" s="252">
        <v>651</v>
      </c>
      <c r="E183" s="296" t="s">
        <v>769</v>
      </c>
      <c r="F183" s="375">
        <v>651</v>
      </c>
    </row>
    <row r="184" spans="1:6">
      <c r="A184" s="252"/>
      <c r="B184" s="252" t="s">
        <v>449</v>
      </c>
      <c r="C184" s="252" t="s">
        <v>450</v>
      </c>
      <c r="D184" s="252"/>
      <c r="E184" s="296" t="s">
        <v>449</v>
      </c>
      <c r="F184" s="375"/>
    </row>
    <row r="185" spans="1:6">
      <c r="A185" s="252"/>
      <c r="B185" s="252"/>
      <c r="C185" s="252"/>
      <c r="D185" s="252"/>
      <c r="E185" s="296"/>
      <c r="F185" s="375" t="s">
        <v>1586</v>
      </c>
    </row>
    <row r="186" spans="1:6">
      <c r="A186" s="252"/>
      <c r="B186" s="252"/>
      <c r="C186" s="252" t="s">
        <v>1689</v>
      </c>
      <c r="D186" s="252"/>
      <c r="E186" s="296"/>
      <c r="F186" s="742">
        <v>2567.12</v>
      </c>
    </row>
    <row r="187" spans="1:6">
      <c r="A187" s="252"/>
      <c r="B187" s="252"/>
      <c r="C187" s="252"/>
      <c r="D187" s="252"/>
      <c r="E187" s="296"/>
      <c r="F187" s="375" t="s">
        <v>1586</v>
      </c>
    </row>
    <row r="188" spans="1:6">
      <c r="A188" s="252"/>
      <c r="B188" s="252"/>
      <c r="C188" s="252" t="s">
        <v>552</v>
      </c>
      <c r="D188" s="252"/>
      <c r="E188" s="296"/>
      <c r="F188" s="375">
        <v>1380.17</v>
      </c>
    </row>
    <row r="189" spans="1:6">
      <c r="A189" s="252"/>
      <c r="B189" s="252"/>
      <c r="C189" s="252"/>
      <c r="D189" s="252"/>
      <c r="E189" s="296"/>
      <c r="F189" s="375" t="s">
        <v>2055</v>
      </c>
    </row>
    <row r="190" spans="1:6">
      <c r="A190" s="252" t="s">
        <v>1296</v>
      </c>
      <c r="B190" s="252" t="s">
        <v>2251</v>
      </c>
      <c r="C190" s="252" t="s">
        <v>4</v>
      </c>
      <c r="D190" s="252"/>
      <c r="E190" s="296"/>
      <c r="F190" s="375"/>
    </row>
    <row r="191" spans="1:6">
      <c r="A191" s="252"/>
      <c r="B191" s="252"/>
      <c r="C191" s="252" t="s">
        <v>1586</v>
      </c>
      <c r="D191" s="252"/>
      <c r="E191" s="296"/>
      <c r="F191" s="375"/>
    </row>
    <row r="192" spans="1:6">
      <c r="A192" s="252">
        <v>0.14000000000000001</v>
      </c>
      <c r="B192" s="252" t="s">
        <v>869</v>
      </c>
      <c r="C192" s="252" t="s">
        <v>1625</v>
      </c>
      <c r="D192" s="252">
        <v>3929.58</v>
      </c>
      <c r="E192" s="296" t="s">
        <v>869</v>
      </c>
      <c r="F192" s="375">
        <v>550.14</v>
      </c>
    </row>
    <row r="193" spans="1:6">
      <c r="A193" s="252">
        <v>1.1000000000000001</v>
      </c>
      <c r="B193" s="252" t="s">
        <v>868</v>
      </c>
      <c r="C193" s="252" t="s">
        <v>2009</v>
      </c>
      <c r="D193" s="252">
        <v>999</v>
      </c>
      <c r="E193" s="296" t="s">
        <v>868</v>
      </c>
      <c r="F193" s="375">
        <v>1098.9000000000001</v>
      </c>
    </row>
    <row r="194" spans="1:6">
      <c r="A194" s="252">
        <v>0.5</v>
      </c>
      <c r="B194" s="252" t="s">
        <v>868</v>
      </c>
      <c r="C194" s="252" t="s">
        <v>1902</v>
      </c>
      <c r="D194" s="252">
        <v>651</v>
      </c>
      <c r="E194" s="296" t="s">
        <v>868</v>
      </c>
      <c r="F194" s="375">
        <v>325.5</v>
      </c>
    </row>
    <row r="195" spans="1:6">
      <c r="A195" s="252">
        <v>1.1000000000000001</v>
      </c>
      <c r="B195" s="252" t="s">
        <v>868</v>
      </c>
      <c r="C195" s="252" t="s">
        <v>320</v>
      </c>
      <c r="D195" s="252">
        <v>534</v>
      </c>
      <c r="E195" s="296" t="s">
        <v>868</v>
      </c>
      <c r="F195" s="375">
        <v>587.4</v>
      </c>
    </row>
    <row r="196" spans="1:6">
      <c r="A196" s="252"/>
      <c r="B196" s="252" t="s">
        <v>449</v>
      </c>
      <c r="C196" s="252" t="s">
        <v>450</v>
      </c>
      <c r="D196" s="252" t="s">
        <v>975</v>
      </c>
      <c r="E196" s="296" t="s">
        <v>449</v>
      </c>
      <c r="F196" s="375">
        <v>5</v>
      </c>
    </row>
    <row r="197" spans="1:6">
      <c r="A197" s="252"/>
      <c r="B197" s="252"/>
      <c r="C197" s="252"/>
      <c r="D197" s="252"/>
      <c r="E197" s="296"/>
      <c r="F197" s="375" t="s">
        <v>1586</v>
      </c>
    </row>
    <row r="198" spans="1:6">
      <c r="A198" s="252"/>
      <c r="B198" s="252"/>
      <c r="C198" s="252" t="s">
        <v>441</v>
      </c>
      <c r="D198" s="252"/>
      <c r="E198" s="296"/>
      <c r="F198" s="375">
        <v>2566.94</v>
      </c>
    </row>
    <row r="199" spans="1:6">
      <c r="A199" s="252"/>
      <c r="B199" s="252"/>
      <c r="C199" s="252"/>
      <c r="D199" s="252"/>
      <c r="E199" s="296"/>
      <c r="F199" s="375" t="s">
        <v>1586</v>
      </c>
    </row>
    <row r="200" spans="1:6">
      <c r="A200" s="252"/>
      <c r="B200" s="252"/>
      <c r="C200" s="252" t="s">
        <v>552</v>
      </c>
      <c r="D200" s="252"/>
      <c r="E200" s="296"/>
      <c r="F200" s="742">
        <v>256.69</v>
      </c>
    </row>
    <row r="201" spans="1:6">
      <c r="A201" s="252"/>
      <c r="B201" s="252"/>
      <c r="C201" s="252"/>
      <c r="D201" s="252"/>
      <c r="E201" s="296"/>
      <c r="F201" s="375"/>
    </row>
    <row r="202" spans="1:6">
      <c r="A202" s="252">
        <v>32.1</v>
      </c>
      <c r="B202" s="252" t="s">
        <v>2251</v>
      </c>
      <c r="C202" s="252" t="s">
        <v>755</v>
      </c>
      <c r="D202" s="252"/>
      <c r="E202" s="296"/>
      <c r="F202" s="375"/>
    </row>
    <row r="203" spans="1:6">
      <c r="A203" s="252"/>
      <c r="B203" s="252"/>
      <c r="C203" s="252" t="s">
        <v>1483</v>
      </c>
      <c r="D203" s="252"/>
      <c r="E203" s="296"/>
      <c r="F203" s="375"/>
    </row>
    <row r="204" spans="1:6">
      <c r="A204" s="252"/>
      <c r="B204" s="252"/>
      <c r="C204" s="252" t="s">
        <v>683</v>
      </c>
      <c r="D204" s="252"/>
      <c r="E204" s="296"/>
      <c r="F204" s="375"/>
    </row>
    <row r="205" spans="1:6">
      <c r="A205" s="252"/>
      <c r="B205" s="252"/>
      <c r="C205" s="252" t="s">
        <v>1967</v>
      </c>
      <c r="D205" s="252"/>
      <c r="E205" s="296"/>
      <c r="F205" s="375"/>
    </row>
    <row r="206" spans="1:6">
      <c r="A206" s="252"/>
      <c r="B206" s="252"/>
      <c r="C206" s="252" t="s">
        <v>1293</v>
      </c>
      <c r="D206" s="252"/>
      <c r="E206" s="296"/>
      <c r="F206" s="375"/>
    </row>
    <row r="207" spans="1:6">
      <c r="A207" s="252"/>
      <c r="B207" s="252"/>
      <c r="C207" s="252" t="s">
        <v>1586</v>
      </c>
      <c r="D207" s="252"/>
      <c r="E207" s="296"/>
      <c r="F207" s="375"/>
    </row>
    <row r="208" spans="1:6">
      <c r="A208" s="252">
        <v>190</v>
      </c>
      <c r="B208" s="252" t="s">
        <v>1873</v>
      </c>
      <c r="C208" s="252" t="s">
        <v>3882</v>
      </c>
      <c r="D208" s="252">
        <v>16106</v>
      </c>
      <c r="E208" s="296" t="s">
        <v>1481</v>
      </c>
      <c r="F208" s="375">
        <v>3060.14</v>
      </c>
    </row>
    <row r="209" spans="1:6">
      <c r="A209" s="252">
        <v>0.12</v>
      </c>
      <c r="B209" s="252" t="s">
        <v>869</v>
      </c>
      <c r="C209" s="252" t="s">
        <v>1876</v>
      </c>
      <c r="D209" s="252">
        <v>5089.26</v>
      </c>
      <c r="E209" s="296" t="s">
        <v>869</v>
      </c>
      <c r="F209" s="375">
        <v>610.71</v>
      </c>
    </row>
    <row r="210" spans="1:6">
      <c r="A210" s="252">
        <v>10</v>
      </c>
      <c r="B210" s="252" t="s">
        <v>609</v>
      </c>
      <c r="C210" s="252" t="s">
        <v>1295</v>
      </c>
      <c r="D210" s="252">
        <v>316.69</v>
      </c>
      <c r="E210" s="296" t="s">
        <v>609</v>
      </c>
      <c r="F210" s="375">
        <v>3166.9</v>
      </c>
    </row>
    <row r="211" spans="1:6">
      <c r="A211" s="252">
        <v>1.54</v>
      </c>
      <c r="B211" s="252" t="s">
        <v>1645</v>
      </c>
      <c r="C211" s="252" t="s">
        <v>964</v>
      </c>
      <c r="D211" s="252">
        <v>42.7</v>
      </c>
      <c r="E211" s="296" t="s">
        <v>1645</v>
      </c>
      <c r="F211" s="375">
        <v>65.760000000000005</v>
      </c>
    </row>
    <row r="212" spans="1:6">
      <c r="A212" s="252">
        <v>1.1000000000000001</v>
      </c>
      <c r="B212" s="252" t="s">
        <v>769</v>
      </c>
      <c r="C212" s="252" t="s">
        <v>2009</v>
      </c>
      <c r="D212" s="252">
        <v>999</v>
      </c>
      <c r="E212" s="296" t="s">
        <v>769</v>
      </c>
      <c r="F212" s="375">
        <v>1098.9000000000001</v>
      </c>
    </row>
    <row r="213" spans="1:6">
      <c r="A213" s="252">
        <v>2.1</v>
      </c>
      <c r="B213" s="252" t="s">
        <v>769</v>
      </c>
      <c r="C213" s="252" t="s">
        <v>1712</v>
      </c>
      <c r="D213" s="252">
        <v>932</v>
      </c>
      <c r="E213" s="296" t="s">
        <v>769</v>
      </c>
      <c r="F213" s="375">
        <v>1957.2</v>
      </c>
    </row>
    <row r="214" spans="1:6">
      <c r="A214" s="252">
        <v>2.2000000000000002</v>
      </c>
      <c r="B214" s="252" t="s">
        <v>769</v>
      </c>
      <c r="C214" s="252" t="s">
        <v>1902</v>
      </c>
      <c r="D214" s="252">
        <v>651</v>
      </c>
      <c r="E214" s="296" t="s">
        <v>769</v>
      </c>
      <c r="F214" s="375">
        <v>1432.2</v>
      </c>
    </row>
    <row r="215" spans="1:6">
      <c r="A215" s="252">
        <v>1.1000000000000001</v>
      </c>
      <c r="B215" s="252" t="s">
        <v>769</v>
      </c>
      <c r="C215" s="252" t="s">
        <v>320</v>
      </c>
      <c r="D215" s="252">
        <v>534</v>
      </c>
      <c r="E215" s="296" t="s">
        <v>769</v>
      </c>
      <c r="F215" s="375">
        <v>587.4</v>
      </c>
    </row>
    <row r="216" spans="1:6">
      <c r="A216" s="252"/>
      <c r="B216" s="252" t="s">
        <v>449</v>
      </c>
      <c r="C216" s="252" t="s">
        <v>450</v>
      </c>
      <c r="D216" s="252"/>
      <c r="E216" s="296" t="s">
        <v>449</v>
      </c>
      <c r="F216" s="375">
        <v>0</v>
      </c>
    </row>
    <row r="217" spans="1:6">
      <c r="A217" s="252"/>
      <c r="B217" s="252"/>
      <c r="C217" s="252"/>
      <c r="D217" s="252"/>
      <c r="E217" s="296"/>
      <c r="F217" s="375" t="s">
        <v>1586</v>
      </c>
    </row>
    <row r="218" spans="1:6">
      <c r="A218" s="252"/>
      <c r="B218" s="252"/>
      <c r="C218" s="252" t="s">
        <v>441</v>
      </c>
      <c r="D218" s="252"/>
      <c r="E218" s="296"/>
      <c r="F218" s="375">
        <v>11979.21</v>
      </c>
    </row>
    <row r="219" spans="1:6">
      <c r="A219" s="252"/>
      <c r="B219" s="252"/>
      <c r="C219" s="252"/>
      <c r="D219" s="252"/>
      <c r="E219" s="296"/>
      <c r="F219" s="375" t="s">
        <v>1586</v>
      </c>
    </row>
    <row r="220" spans="1:6">
      <c r="A220" s="252"/>
      <c r="B220" s="252"/>
      <c r="C220" s="252" t="s">
        <v>552</v>
      </c>
      <c r="D220" s="252"/>
      <c r="E220" s="296"/>
      <c r="F220" s="742">
        <v>1197.92</v>
      </c>
    </row>
    <row r="221" spans="1:6">
      <c r="A221" s="252" t="s">
        <v>1140</v>
      </c>
      <c r="B221" s="252" t="s">
        <v>2251</v>
      </c>
      <c r="C221" s="252" t="s">
        <v>81</v>
      </c>
      <c r="D221" s="252"/>
      <c r="E221" s="296"/>
      <c r="F221" s="375"/>
    </row>
    <row r="222" spans="1:6">
      <c r="A222" s="252"/>
      <c r="B222" s="252"/>
      <c r="C222" s="252" t="s">
        <v>1102</v>
      </c>
      <c r="D222" s="252"/>
      <c r="E222" s="296"/>
      <c r="F222" s="375"/>
    </row>
    <row r="223" spans="1:6">
      <c r="A223" s="252"/>
      <c r="B223" s="252"/>
      <c r="C223" s="252" t="s">
        <v>1103</v>
      </c>
      <c r="D223" s="252"/>
      <c r="E223" s="296"/>
      <c r="F223" s="375"/>
    </row>
    <row r="224" spans="1:6">
      <c r="A224" s="252"/>
      <c r="B224" s="252"/>
      <c r="C224" s="252" t="s">
        <v>1104</v>
      </c>
      <c r="D224" s="252"/>
      <c r="E224" s="296"/>
      <c r="F224" s="375"/>
    </row>
    <row r="225" spans="1:6">
      <c r="A225" s="252"/>
      <c r="B225" s="252"/>
      <c r="C225" s="252" t="s">
        <v>1586</v>
      </c>
      <c r="D225" s="252"/>
      <c r="E225" s="296"/>
      <c r="F225" s="375"/>
    </row>
    <row r="226" spans="1:6">
      <c r="A226" s="252">
        <v>1</v>
      </c>
      <c r="B226" s="252" t="s">
        <v>868</v>
      </c>
      <c r="C226" s="252" t="s">
        <v>712</v>
      </c>
      <c r="D226" s="252">
        <v>1201</v>
      </c>
      <c r="E226" s="296" t="s">
        <v>868</v>
      </c>
      <c r="F226" s="375">
        <v>1201</v>
      </c>
    </row>
    <row r="227" spans="1:6">
      <c r="A227" s="252">
        <v>0.65</v>
      </c>
      <c r="B227" s="252" t="s">
        <v>869</v>
      </c>
      <c r="C227" s="252" t="s">
        <v>250</v>
      </c>
      <c r="D227" s="252">
        <v>224.1</v>
      </c>
      <c r="E227" s="296" t="s">
        <v>869</v>
      </c>
      <c r="F227" s="375">
        <v>145.66999999999999</v>
      </c>
    </row>
    <row r="228" spans="1:6">
      <c r="A228" s="252">
        <v>0.56999999999999995</v>
      </c>
      <c r="B228" s="252" t="s">
        <v>869</v>
      </c>
      <c r="C228" s="252" t="s">
        <v>251</v>
      </c>
      <c r="D228" s="252">
        <v>38.950000000000003</v>
      </c>
      <c r="E228" s="296" t="s">
        <v>869</v>
      </c>
      <c r="F228" s="375">
        <v>22.2</v>
      </c>
    </row>
    <row r="229" spans="1:6">
      <c r="A229" s="252">
        <v>8.1000000000000003E-2</v>
      </c>
      <c r="B229" s="252" t="s">
        <v>869</v>
      </c>
      <c r="C229" s="252" t="s">
        <v>252</v>
      </c>
      <c r="D229" s="252">
        <v>4278.7700000000004</v>
      </c>
      <c r="E229" s="296" t="s">
        <v>869</v>
      </c>
      <c r="F229" s="375">
        <v>346.58</v>
      </c>
    </row>
    <row r="230" spans="1:6">
      <c r="A230" s="252">
        <v>1</v>
      </c>
      <c r="B230" s="252" t="s">
        <v>868</v>
      </c>
      <c r="C230" s="252" t="s">
        <v>2103</v>
      </c>
      <c r="D230" s="252">
        <v>866</v>
      </c>
      <c r="E230" s="296" t="s">
        <v>868</v>
      </c>
      <c r="F230" s="375">
        <v>866</v>
      </c>
    </row>
    <row r="231" spans="1:6">
      <c r="A231" s="252">
        <v>0.5</v>
      </c>
      <c r="B231" s="252" t="s">
        <v>868</v>
      </c>
      <c r="C231" s="252" t="s">
        <v>1712</v>
      </c>
      <c r="D231" s="252">
        <v>932</v>
      </c>
      <c r="E231" s="296" t="s">
        <v>868</v>
      </c>
      <c r="F231" s="375">
        <v>466</v>
      </c>
    </row>
    <row r="232" spans="1:6">
      <c r="A232" s="252">
        <v>0.5</v>
      </c>
      <c r="B232" s="252" t="s">
        <v>868</v>
      </c>
      <c r="C232" s="252" t="s">
        <v>1902</v>
      </c>
      <c r="D232" s="252">
        <v>651</v>
      </c>
      <c r="E232" s="296" t="s">
        <v>868</v>
      </c>
      <c r="F232" s="375">
        <v>325.5</v>
      </c>
    </row>
    <row r="233" spans="1:6">
      <c r="A233" s="252"/>
      <c r="B233" s="252" t="s">
        <v>449</v>
      </c>
      <c r="C233" s="252" t="s">
        <v>450</v>
      </c>
      <c r="D233" s="252" t="s">
        <v>975</v>
      </c>
      <c r="E233" s="296" t="s">
        <v>449</v>
      </c>
      <c r="F233" s="375">
        <v>1.25</v>
      </c>
    </row>
    <row r="234" spans="1:6">
      <c r="A234" s="252"/>
      <c r="B234" s="252"/>
      <c r="C234" s="252"/>
      <c r="D234" s="252"/>
      <c r="E234" s="296"/>
      <c r="F234" s="375" t="s">
        <v>1586</v>
      </c>
    </row>
    <row r="235" spans="1:6">
      <c r="A235" s="252"/>
      <c r="B235" s="252"/>
      <c r="C235" s="252" t="s">
        <v>1751</v>
      </c>
      <c r="D235" s="252"/>
      <c r="E235" s="296"/>
      <c r="F235" s="742">
        <v>3374.2</v>
      </c>
    </row>
    <row r="236" spans="1:6">
      <c r="A236" s="252"/>
      <c r="B236" s="252"/>
      <c r="C236" s="252"/>
      <c r="D236" s="252"/>
      <c r="E236" s="296"/>
      <c r="F236" s="375"/>
    </row>
    <row r="237" spans="1:6">
      <c r="A237" s="252"/>
      <c r="B237" s="252"/>
      <c r="C237" s="252" t="s">
        <v>2385</v>
      </c>
      <c r="D237" s="252"/>
      <c r="E237" s="296"/>
      <c r="F237" s="375"/>
    </row>
    <row r="238" spans="1:6">
      <c r="A238" s="252">
        <v>90</v>
      </c>
      <c r="B238" s="252" t="s">
        <v>826</v>
      </c>
      <c r="C238" s="252" t="s">
        <v>5369</v>
      </c>
      <c r="D238" s="252">
        <v>16.55</v>
      </c>
      <c r="E238" s="296" t="s">
        <v>2539</v>
      </c>
      <c r="F238" s="375">
        <v>1489.5</v>
      </c>
    </row>
    <row r="239" spans="1:6">
      <c r="A239" s="252">
        <v>45</v>
      </c>
      <c r="B239" s="252" t="s">
        <v>826</v>
      </c>
      <c r="C239" s="252" t="s">
        <v>5370</v>
      </c>
      <c r="D239" s="252">
        <v>20</v>
      </c>
      <c r="E239" s="296" t="s">
        <v>2365</v>
      </c>
      <c r="F239" s="375">
        <v>900</v>
      </c>
    </row>
    <row r="240" spans="1:6">
      <c r="A240" s="252">
        <v>20</v>
      </c>
      <c r="B240" s="252" t="s">
        <v>1394</v>
      </c>
      <c r="C240" s="252" t="s">
        <v>5371</v>
      </c>
      <c r="D240" s="252">
        <v>3.15</v>
      </c>
      <c r="E240" s="296" t="s">
        <v>1394</v>
      </c>
      <c r="F240" s="375">
        <v>63</v>
      </c>
    </row>
    <row r="241" spans="1:6">
      <c r="A241" s="252">
        <v>10</v>
      </c>
      <c r="B241" s="252" t="s">
        <v>1394</v>
      </c>
      <c r="C241" s="252" t="s">
        <v>5906</v>
      </c>
      <c r="D241" s="252">
        <v>1.34</v>
      </c>
      <c r="E241" s="296" t="s">
        <v>1394</v>
      </c>
      <c r="F241" s="375">
        <v>13.4</v>
      </c>
    </row>
    <row r="242" spans="1:6">
      <c r="A242" s="252">
        <v>1</v>
      </c>
      <c r="B242" s="252" t="s">
        <v>1394</v>
      </c>
      <c r="C242" s="252" t="s">
        <v>5372</v>
      </c>
      <c r="D242" s="252">
        <v>70.7</v>
      </c>
      <c r="E242" s="296" t="s">
        <v>1394</v>
      </c>
      <c r="F242" s="375">
        <v>70.7</v>
      </c>
    </row>
    <row r="243" spans="1:6">
      <c r="A243" s="252"/>
      <c r="B243" s="252"/>
      <c r="C243" s="252"/>
      <c r="D243" s="252"/>
      <c r="E243" s="296"/>
      <c r="F243" s="375"/>
    </row>
    <row r="244" spans="1:6">
      <c r="A244" s="252">
        <v>1.4999999999999999E-2</v>
      </c>
      <c r="B244" s="252" t="s">
        <v>2283</v>
      </c>
      <c r="C244" s="252" t="s">
        <v>5907</v>
      </c>
      <c r="D244" s="252">
        <v>661</v>
      </c>
      <c r="E244" s="296" t="s">
        <v>2283</v>
      </c>
      <c r="F244" s="375">
        <v>9.92</v>
      </c>
    </row>
    <row r="245" spans="1:6">
      <c r="A245" s="252">
        <v>10</v>
      </c>
      <c r="B245" s="252" t="s">
        <v>1394</v>
      </c>
      <c r="C245" s="252" t="s">
        <v>5908</v>
      </c>
      <c r="D245" s="252">
        <v>16.21</v>
      </c>
      <c r="E245" s="296" t="s">
        <v>1394</v>
      </c>
      <c r="F245" s="375">
        <v>162.1</v>
      </c>
    </row>
    <row r="246" spans="1:6">
      <c r="A246" s="252">
        <v>10</v>
      </c>
      <c r="B246" s="252" t="s">
        <v>1394</v>
      </c>
      <c r="C246" s="252" t="s">
        <v>5374</v>
      </c>
      <c r="D246" s="252">
        <v>13.8</v>
      </c>
      <c r="E246" s="296" t="s">
        <v>1394</v>
      </c>
      <c r="F246" s="375">
        <v>138</v>
      </c>
    </row>
    <row r="247" spans="1:6">
      <c r="A247" s="252">
        <v>10</v>
      </c>
      <c r="B247" s="252" t="s">
        <v>1394</v>
      </c>
      <c r="C247" s="252" t="s">
        <v>5909</v>
      </c>
      <c r="D247" s="252">
        <v>3.6</v>
      </c>
      <c r="E247" s="296" t="s">
        <v>1394</v>
      </c>
      <c r="F247" s="375">
        <v>36</v>
      </c>
    </row>
    <row r="248" spans="1:6">
      <c r="A248" s="252">
        <v>1.25</v>
      </c>
      <c r="B248" s="252" t="s">
        <v>2632</v>
      </c>
      <c r="C248" s="252" t="s">
        <v>390</v>
      </c>
      <c r="D248" s="252">
        <v>302</v>
      </c>
      <c r="E248" s="296" t="s">
        <v>2632</v>
      </c>
      <c r="F248" s="375">
        <v>377.5</v>
      </c>
    </row>
    <row r="249" spans="1:6">
      <c r="A249" s="252">
        <v>10</v>
      </c>
      <c r="B249" s="252" t="s">
        <v>1394</v>
      </c>
      <c r="C249" s="252" t="s">
        <v>4609</v>
      </c>
      <c r="D249" s="252">
        <v>70.7</v>
      </c>
      <c r="E249" s="296" t="s">
        <v>1394</v>
      </c>
      <c r="F249" s="375">
        <v>707</v>
      </c>
    </row>
    <row r="250" spans="1:6">
      <c r="A250" s="252">
        <v>0.15</v>
      </c>
      <c r="B250" s="252" t="s">
        <v>2283</v>
      </c>
      <c r="C250" s="252" t="s">
        <v>4610</v>
      </c>
      <c r="D250" s="252">
        <v>661</v>
      </c>
      <c r="E250" s="296" t="s">
        <v>2283</v>
      </c>
      <c r="F250" s="375">
        <v>99.15</v>
      </c>
    </row>
    <row r="251" spans="1:6">
      <c r="A251" s="252">
        <v>45</v>
      </c>
      <c r="B251" s="252" t="s">
        <v>826</v>
      </c>
      <c r="C251" s="252" t="s">
        <v>4608</v>
      </c>
      <c r="D251" s="252">
        <v>16.55</v>
      </c>
      <c r="E251" s="296" t="s">
        <v>3290</v>
      </c>
      <c r="F251" s="375">
        <v>744.75</v>
      </c>
    </row>
    <row r="252" spans="1:6">
      <c r="A252" s="252" t="s">
        <v>657</v>
      </c>
      <c r="B252" s="252"/>
      <c r="C252" s="252" t="s">
        <v>915</v>
      </c>
      <c r="D252" s="252"/>
      <c r="E252" s="296" t="s">
        <v>657</v>
      </c>
      <c r="F252" s="375">
        <v>12075</v>
      </c>
    </row>
    <row r="253" spans="1:6">
      <c r="A253" s="252" t="s">
        <v>657</v>
      </c>
      <c r="B253" s="252"/>
      <c r="C253" s="252" t="s">
        <v>2327</v>
      </c>
      <c r="D253" s="252"/>
      <c r="E253" s="296" t="s">
        <v>657</v>
      </c>
      <c r="F253" s="375">
        <v>34.979999999999997</v>
      </c>
    </row>
    <row r="254" spans="1:6">
      <c r="A254" s="252"/>
      <c r="B254" s="252"/>
      <c r="C254" s="252" t="s">
        <v>3293</v>
      </c>
      <c r="D254" s="252"/>
      <c r="E254" s="296"/>
      <c r="F254" s="375">
        <v>16921</v>
      </c>
    </row>
    <row r="255" spans="1:6">
      <c r="A255" s="252"/>
      <c r="B255" s="252"/>
      <c r="C255" s="252" t="s">
        <v>3295</v>
      </c>
      <c r="D255" s="252"/>
      <c r="E255" s="296"/>
      <c r="F255" s="742">
        <v>1692.1</v>
      </c>
    </row>
    <row r="256" spans="1:6">
      <c r="A256" s="252"/>
      <c r="B256" s="252"/>
      <c r="C256" s="252"/>
      <c r="D256" s="252"/>
      <c r="E256" s="296"/>
      <c r="F256" s="375"/>
    </row>
    <row r="257" spans="1:6">
      <c r="A257" s="252"/>
      <c r="B257" s="252"/>
      <c r="C257" s="252" t="s">
        <v>3297</v>
      </c>
      <c r="D257" s="252"/>
      <c r="E257" s="296"/>
      <c r="F257" s="375"/>
    </row>
    <row r="258" spans="1:6">
      <c r="A258" s="252"/>
      <c r="B258" s="252"/>
      <c r="C258" s="252"/>
      <c r="D258" s="252"/>
      <c r="E258" s="296"/>
      <c r="F258" s="375"/>
    </row>
    <row r="259" spans="1:6">
      <c r="A259" s="252"/>
      <c r="B259" s="252"/>
      <c r="C259" s="252" t="s">
        <v>3373</v>
      </c>
      <c r="D259" s="252"/>
      <c r="E259" s="296"/>
      <c r="F259" s="375"/>
    </row>
    <row r="260" spans="1:6">
      <c r="A260" s="252"/>
      <c r="B260" s="252"/>
      <c r="C260" s="252"/>
      <c r="D260" s="252"/>
      <c r="E260" s="296"/>
      <c r="F260" s="375"/>
    </row>
    <row r="261" spans="1:6">
      <c r="A261" s="252">
        <v>1</v>
      </c>
      <c r="B261" s="252" t="s">
        <v>1394</v>
      </c>
      <c r="C261" s="252" t="s">
        <v>5910</v>
      </c>
      <c r="D261" s="252">
        <v>947</v>
      </c>
      <c r="E261" s="296" t="s">
        <v>1394</v>
      </c>
      <c r="F261" s="375">
        <v>947</v>
      </c>
    </row>
    <row r="262" spans="1:6">
      <c r="A262" s="252">
        <v>2</v>
      </c>
      <c r="B262" s="252" t="s">
        <v>1394</v>
      </c>
      <c r="C262" s="252" t="s">
        <v>5911</v>
      </c>
      <c r="D262" s="252">
        <v>826</v>
      </c>
      <c r="E262" s="296" t="s">
        <v>1394</v>
      </c>
      <c r="F262" s="375">
        <v>1652</v>
      </c>
    </row>
    <row r="263" spans="1:6">
      <c r="A263" s="252">
        <v>3</v>
      </c>
      <c r="B263" s="252" t="s">
        <v>1394</v>
      </c>
      <c r="C263" s="252" t="s">
        <v>5912</v>
      </c>
      <c r="D263" s="252">
        <v>820</v>
      </c>
      <c r="E263" s="296" t="s">
        <v>1394</v>
      </c>
      <c r="F263" s="375">
        <v>2460</v>
      </c>
    </row>
    <row r="264" spans="1:6">
      <c r="A264" s="366">
        <v>4</v>
      </c>
      <c r="B264" s="252" t="s">
        <v>1394</v>
      </c>
      <c r="C264" s="296" t="s">
        <v>5913</v>
      </c>
      <c r="D264" s="252">
        <v>644</v>
      </c>
      <c r="E264" s="296" t="s">
        <v>1394</v>
      </c>
      <c r="F264" s="375">
        <v>2576</v>
      </c>
    </row>
    <row r="265" spans="1:6">
      <c r="A265" s="252"/>
      <c r="B265" s="252"/>
      <c r="C265" s="296" t="s">
        <v>3077</v>
      </c>
      <c r="D265" s="252"/>
      <c r="E265" s="296"/>
      <c r="F265" s="375"/>
    </row>
    <row r="266" spans="1:6">
      <c r="A266" s="252">
        <v>2</v>
      </c>
      <c r="B266" s="252" t="s">
        <v>1394</v>
      </c>
      <c r="C266" s="296" t="s">
        <v>6430</v>
      </c>
      <c r="D266" s="252">
        <v>932</v>
      </c>
      <c r="E266" s="296" t="s">
        <v>1394</v>
      </c>
      <c r="F266" s="375">
        <v>1864</v>
      </c>
    </row>
    <row r="267" spans="1:6">
      <c r="A267" s="252">
        <v>4</v>
      </c>
      <c r="B267" s="252" t="s">
        <v>1394</v>
      </c>
      <c r="C267" s="358" t="s">
        <v>5913</v>
      </c>
      <c r="D267" s="358">
        <v>644</v>
      </c>
      <c r="E267" s="296" t="s">
        <v>1394</v>
      </c>
      <c r="F267" s="375">
        <v>2576</v>
      </c>
    </row>
    <row r="268" spans="1:6">
      <c r="A268" s="252"/>
      <c r="B268" s="252"/>
      <c r="C268" s="296"/>
      <c r="D268" s="252"/>
      <c r="E268" s="296"/>
      <c r="F268" s="375">
        <v>12075</v>
      </c>
    </row>
    <row r="269" spans="1:6">
      <c r="A269" s="252"/>
      <c r="B269" s="252"/>
      <c r="C269" s="296"/>
      <c r="D269" s="252"/>
      <c r="E269" s="296"/>
      <c r="F269" s="375"/>
    </row>
    <row r="270" spans="1:6" ht="114.75" customHeight="1">
      <c r="A270" s="252"/>
      <c r="B270" s="975" t="s">
        <v>2481</v>
      </c>
      <c r="C270" s="975"/>
      <c r="D270" s="975"/>
      <c r="E270" s="975"/>
      <c r="F270" s="375"/>
    </row>
    <row r="271" spans="1:6">
      <c r="A271" s="252"/>
      <c r="B271" s="252" t="s">
        <v>2446</v>
      </c>
      <c r="C271" s="296"/>
      <c r="D271" s="252"/>
      <c r="E271" s="296">
        <v>16886.02</v>
      </c>
      <c r="F271" s="375"/>
    </row>
    <row r="272" spans="1:6">
      <c r="A272" s="252"/>
      <c r="B272" s="252" t="s">
        <v>2447</v>
      </c>
      <c r="C272" s="296"/>
      <c r="D272" s="252"/>
      <c r="E272" s="296">
        <v>138</v>
      </c>
      <c r="F272" s="375"/>
    </row>
    <row r="273" spans="1:6">
      <c r="A273" s="252"/>
      <c r="B273" s="252" t="s">
        <v>5914</v>
      </c>
      <c r="C273" s="296"/>
      <c r="D273" s="252"/>
      <c r="E273" s="296">
        <v>166.5</v>
      </c>
      <c r="F273" s="375"/>
    </row>
    <row r="274" spans="1:6">
      <c r="A274" s="252"/>
      <c r="B274" s="252" t="s">
        <v>2271</v>
      </c>
      <c r="C274" s="296"/>
      <c r="D274" s="252"/>
      <c r="E274" s="296">
        <v>36.479999999999997</v>
      </c>
      <c r="F274" s="375"/>
    </row>
    <row r="275" spans="1:6">
      <c r="A275" s="356"/>
      <c r="B275" s="252" t="s">
        <v>2425</v>
      </c>
      <c r="C275" s="296"/>
      <c r="D275" s="252"/>
      <c r="E275" s="296">
        <v>16951</v>
      </c>
      <c r="F275" s="375"/>
    </row>
    <row r="276" spans="1:6">
      <c r="A276" s="356"/>
      <c r="B276" s="252" t="s">
        <v>2426</v>
      </c>
      <c r="C276" s="296"/>
      <c r="D276" s="252"/>
      <c r="E276" s="364">
        <v>1695.1</v>
      </c>
      <c r="F276" s="375"/>
    </row>
    <row r="277" spans="1:6">
      <c r="A277" s="252"/>
      <c r="B277" s="252"/>
      <c r="C277" s="296"/>
      <c r="D277" s="252"/>
      <c r="E277" s="296"/>
      <c r="F277" s="375"/>
    </row>
    <row r="278" spans="1:6">
      <c r="A278" s="252"/>
      <c r="B278" s="252" t="s">
        <v>5678</v>
      </c>
      <c r="C278" s="296"/>
      <c r="D278" s="252"/>
      <c r="E278" s="296"/>
      <c r="F278" s="375"/>
    </row>
    <row r="279" spans="1:6">
      <c r="A279" s="252"/>
      <c r="B279" s="252"/>
      <c r="C279" s="296"/>
      <c r="D279" s="252"/>
      <c r="E279" s="296"/>
      <c r="F279" s="375"/>
    </row>
    <row r="280" spans="1:6" s="681" customFormat="1">
      <c r="A280" s="252"/>
      <c r="B280" s="252" t="s">
        <v>5926</v>
      </c>
      <c r="C280" s="296">
        <v>1856</v>
      </c>
      <c r="D280" s="252" t="s">
        <v>1394</v>
      </c>
      <c r="E280" s="296">
        <v>1856</v>
      </c>
      <c r="F280" s="375"/>
    </row>
    <row r="281" spans="1:6" s="681" customFormat="1">
      <c r="A281" s="252"/>
      <c r="B281" s="252" t="s">
        <v>915</v>
      </c>
      <c r="C281" s="252">
        <v>2265.67</v>
      </c>
      <c r="D281" s="252" t="s">
        <v>1394</v>
      </c>
      <c r="E281" s="296">
        <v>2265.67</v>
      </c>
      <c r="F281" s="375"/>
    </row>
    <row r="282" spans="1:6" s="681" customFormat="1">
      <c r="A282" s="252"/>
      <c r="B282" s="252" t="s">
        <v>2271</v>
      </c>
      <c r="C282" s="296"/>
      <c r="D282" s="252"/>
      <c r="E282" s="296"/>
      <c r="F282" s="375"/>
    </row>
    <row r="283" spans="1:6" s="681" customFormat="1">
      <c r="A283" s="252"/>
      <c r="B283" s="252" t="s">
        <v>1062</v>
      </c>
      <c r="C283" s="252"/>
      <c r="D283" s="252"/>
      <c r="E283" s="364">
        <v>4121.67</v>
      </c>
      <c r="F283" s="375"/>
    </row>
    <row r="284" spans="1:6" s="681" customFormat="1">
      <c r="A284" s="252"/>
      <c r="B284" s="252"/>
      <c r="C284" s="740"/>
      <c r="D284" s="252"/>
      <c r="E284" s="296"/>
      <c r="F284" s="375"/>
    </row>
    <row r="285" spans="1:6" s="681" customFormat="1">
      <c r="A285" s="252"/>
      <c r="B285" s="252"/>
      <c r="C285" s="252" t="s">
        <v>2858</v>
      </c>
      <c r="D285" s="252"/>
      <c r="E285" s="296"/>
      <c r="F285" s="375"/>
    </row>
    <row r="286" spans="1:6" s="681" customFormat="1">
      <c r="A286" s="740">
        <v>1</v>
      </c>
      <c r="B286" s="252" t="s">
        <v>1394</v>
      </c>
      <c r="C286" s="296" t="s">
        <v>5423</v>
      </c>
      <c r="D286" s="252">
        <v>1553</v>
      </c>
      <c r="E286" s="296" t="s">
        <v>1394</v>
      </c>
      <c r="F286" s="375">
        <v>1553</v>
      </c>
    </row>
    <row r="287" spans="1:6" s="681" customFormat="1">
      <c r="A287" s="252">
        <v>1</v>
      </c>
      <c r="B287" s="252" t="s">
        <v>1394</v>
      </c>
      <c r="C287" s="296" t="s">
        <v>5424</v>
      </c>
      <c r="D287" s="252">
        <v>185.9</v>
      </c>
      <c r="E287" s="296" t="s">
        <v>1394</v>
      </c>
      <c r="F287" s="375">
        <v>185.9</v>
      </c>
    </row>
    <row r="288" spans="1:6" s="681" customFormat="1">
      <c r="A288" s="252"/>
      <c r="B288" s="252"/>
      <c r="C288" s="296" t="s">
        <v>2854</v>
      </c>
      <c r="D288" s="252"/>
      <c r="E288" s="296"/>
      <c r="F288" s="742">
        <v>1739.7</v>
      </c>
    </row>
    <row r="289" spans="1:6" s="681" customFormat="1">
      <c r="A289" s="252"/>
      <c r="B289" s="252"/>
      <c r="C289" s="296"/>
      <c r="D289" s="252"/>
      <c r="E289" s="296"/>
      <c r="F289" s="375"/>
    </row>
    <row r="290" spans="1:6" s="681" customFormat="1">
      <c r="A290" s="252"/>
      <c r="B290" s="252"/>
      <c r="C290" s="358" t="s">
        <v>3103</v>
      </c>
      <c r="D290" s="252"/>
      <c r="E290" s="296"/>
      <c r="F290" s="375"/>
    </row>
    <row r="291" spans="1:6" s="681" customFormat="1">
      <c r="A291" s="252"/>
      <c r="B291" s="252"/>
      <c r="C291" s="296"/>
      <c r="D291" s="252"/>
      <c r="E291" s="296"/>
      <c r="F291" s="375"/>
    </row>
    <row r="292" spans="1:6" s="681" customFormat="1">
      <c r="A292" s="252">
        <v>1</v>
      </c>
      <c r="B292" s="252" t="s">
        <v>826</v>
      </c>
      <c r="C292" s="296" t="s">
        <v>2324</v>
      </c>
      <c r="D292" s="252">
        <v>914.1</v>
      </c>
      <c r="E292" s="296" t="s">
        <v>3104</v>
      </c>
      <c r="F292" s="375">
        <v>9.14</v>
      </c>
    </row>
    <row r="293" spans="1:6" s="681" customFormat="1">
      <c r="A293" s="252"/>
      <c r="B293" s="252"/>
      <c r="C293" s="296" t="s">
        <v>140</v>
      </c>
      <c r="D293" s="252"/>
      <c r="E293" s="296"/>
      <c r="F293" s="375">
        <v>586.79999999999995</v>
      </c>
    </row>
    <row r="294" spans="1:6" s="681" customFormat="1">
      <c r="A294" s="356"/>
      <c r="B294" s="252"/>
      <c r="C294" s="296" t="s">
        <v>2327</v>
      </c>
      <c r="D294" s="252"/>
      <c r="E294" s="296"/>
      <c r="F294" s="375">
        <v>5.26</v>
      </c>
    </row>
    <row r="295" spans="1:6" s="681" customFormat="1">
      <c r="A295" s="252"/>
      <c r="B295" s="252"/>
      <c r="C295" s="296" t="s">
        <v>3105</v>
      </c>
      <c r="D295" s="252" t="s">
        <v>1062</v>
      </c>
      <c r="E295" s="296"/>
      <c r="F295" s="375">
        <v>601.20000000000005</v>
      </c>
    </row>
    <row r="296" spans="1:6" s="681" customFormat="1">
      <c r="A296" s="252">
        <v>1</v>
      </c>
      <c r="B296" s="252" t="s">
        <v>1394</v>
      </c>
      <c r="C296" s="296" t="s">
        <v>2754</v>
      </c>
      <c r="D296" s="252">
        <v>826</v>
      </c>
      <c r="E296" s="296" t="s">
        <v>1394</v>
      </c>
      <c r="F296" s="375">
        <v>826</v>
      </c>
    </row>
    <row r="297" spans="1:6" s="681" customFormat="1">
      <c r="A297" s="252">
        <v>1</v>
      </c>
      <c r="B297" s="252" t="s">
        <v>1394</v>
      </c>
      <c r="C297" s="296" t="s">
        <v>2585</v>
      </c>
      <c r="D297" s="252">
        <v>820</v>
      </c>
      <c r="E297" s="296" t="s">
        <v>1394</v>
      </c>
      <c r="F297" s="375">
        <v>820</v>
      </c>
    </row>
    <row r="298" spans="1:6" s="681" customFormat="1">
      <c r="A298" s="252">
        <v>2</v>
      </c>
      <c r="B298" s="252" t="s">
        <v>1394</v>
      </c>
      <c r="C298" s="296" t="s">
        <v>3064</v>
      </c>
      <c r="D298" s="252">
        <v>644</v>
      </c>
      <c r="E298" s="296" t="s">
        <v>1394</v>
      </c>
      <c r="F298" s="394">
        <v>1288</v>
      </c>
    </row>
    <row r="299" spans="1:6" s="681" customFormat="1">
      <c r="A299" s="252"/>
      <c r="B299" s="252"/>
      <c r="C299" s="296" t="s">
        <v>3106</v>
      </c>
      <c r="D299" s="252"/>
      <c r="E299" s="296"/>
      <c r="F299" s="394">
        <v>2934</v>
      </c>
    </row>
    <row r="300" spans="1:6" s="681" customFormat="1">
      <c r="A300" s="252"/>
      <c r="B300" s="252"/>
      <c r="C300" s="296" t="s">
        <v>1062</v>
      </c>
      <c r="D300" s="252"/>
      <c r="E300" s="296"/>
      <c r="F300" s="742">
        <v>586.79999999999995</v>
      </c>
    </row>
    <row r="301" spans="1:6" s="681" customFormat="1">
      <c r="A301" s="252"/>
      <c r="B301" s="252"/>
      <c r="C301" s="296"/>
      <c r="D301" s="252"/>
      <c r="E301" s="296"/>
      <c r="F301" s="684"/>
    </row>
    <row r="302" spans="1:6" s="681" customFormat="1">
      <c r="A302" s="252"/>
      <c r="B302" s="252"/>
      <c r="C302" s="252" t="s">
        <v>5886</v>
      </c>
      <c r="D302" s="252">
        <v>398.3</v>
      </c>
      <c r="E302" s="296" t="s">
        <v>1714</v>
      </c>
      <c r="F302" s="743">
        <v>398.3</v>
      </c>
    </row>
    <row r="303" spans="1:6" s="681" customFormat="1">
      <c r="A303" s="252"/>
      <c r="B303" s="252"/>
      <c r="C303" s="252"/>
      <c r="D303" s="252"/>
      <c r="E303" s="252"/>
      <c r="F303" s="375"/>
    </row>
    <row r="304" spans="1:6" s="681" customFormat="1">
      <c r="A304" s="740" t="s">
        <v>1442</v>
      </c>
      <c r="B304" s="252" t="s">
        <v>2251</v>
      </c>
      <c r="C304" s="296" t="s">
        <v>6510</v>
      </c>
      <c r="D304" s="252"/>
      <c r="E304" s="296"/>
      <c r="F304" s="375"/>
    </row>
    <row r="305" spans="1:6" s="681" customFormat="1">
      <c r="A305" s="252"/>
      <c r="B305" s="252"/>
      <c r="C305" s="296" t="s">
        <v>1443</v>
      </c>
      <c r="D305" s="252"/>
      <c r="E305" s="296"/>
      <c r="F305" s="375"/>
    </row>
    <row r="306" spans="1:6" s="681" customFormat="1">
      <c r="A306" s="252"/>
      <c r="B306" s="252"/>
      <c r="C306" s="296" t="s">
        <v>1586</v>
      </c>
      <c r="D306" s="252" t="s">
        <v>1586</v>
      </c>
      <c r="E306" s="296"/>
      <c r="F306" s="375"/>
    </row>
    <row r="307" spans="1:6" s="681" customFormat="1">
      <c r="A307" s="252">
        <v>0.53339999999999999</v>
      </c>
      <c r="B307" s="252" t="s">
        <v>2283</v>
      </c>
      <c r="C307" s="296" t="s">
        <v>6366</v>
      </c>
      <c r="D307" s="252">
        <v>306.89999999999998</v>
      </c>
      <c r="E307" s="296" t="s">
        <v>2283</v>
      </c>
      <c r="F307" s="375">
        <v>163.69999999999999</v>
      </c>
    </row>
    <row r="308" spans="1:6" s="681" customFormat="1">
      <c r="A308" s="252">
        <v>4.24</v>
      </c>
      <c r="B308" s="252" t="s">
        <v>826</v>
      </c>
      <c r="C308" s="358" t="s">
        <v>4225</v>
      </c>
      <c r="D308" s="252">
        <v>35.61</v>
      </c>
      <c r="E308" s="296" t="s">
        <v>826</v>
      </c>
      <c r="F308" s="375">
        <v>150.99</v>
      </c>
    </row>
    <row r="309" spans="1:6" s="681" customFormat="1">
      <c r="A309" s="252">
        <v>16</v>
      </c>
      <c r="B309" s="252" t="s">
        <v>560</v>
      </c>
      <c r="C309" s="296" t="s">
        <v>4226</v>
      </c>
      <c r="D309" s="252">
        <v>1</v>
      </c>
      <c r="E309" s="296" t="s">
        <v>1398</v>
      </c>
      <c r="F309" s="375">
        <v>16</v>
      </c>
    </row>
    <row r="310" spans="1:6" s="681" customFormat="1">
      <c r="A310" s="356">
        <v>0.53339999999999999</v>
      </c>
      <c r="B310" s="252" t="s">
        <v>2283</v>
      </c>
      <c r="C310" s="296" t="s">
        <v>707</v>
      </c>
      <c r="D310" s="252">
        <v>215.74</v>
      </c>
      <c r="E310" s="296" t="s">
        <v>2283</v>
      </c>
      <c r="F310" s="375">
        <v>115.08</v>
      </c>
    </row>
    <row r="311" spans="1:6" s="681" customFormat="1">
      <c r="A311" s="252"/>
      <c r="B311" s="252" t="s">
        <v>449</v>
      </c>
      <c r="C311" s="296" t="s">
        <v>2271</v>
      </c>
      <c r="D311" s="252"/>
      <c r="E311" s="296" t="s">
        <v>449</v>
      </c>
      <c r="F311" s="375"/>
    </row>
    <row r="312" spans="1:6" s="681" customFormat="1">
      <c r="A312" s="252"/>
      <c r="B312" s="252"/>
      <c r="C312" s="296" t="s">
        <v>2272</v>
      </c>
      <c r="D312" s="252"/>
      <c r="E312" s="296"/>
      <c r="F312" s="375"/>
    </row>
    <row r="313" spans="1:6" s="681" customFormat="1">
      <c r="A313" s="252"/>
      <c r="B313" s="252"/>
      <c r="C313" s="296"/>
      <c r="D313" s="389"/>
      <c r="E313" s="296"/>
      <c r="F313" s="375" t="s">
        <v>1586</v>
      </c>
    </row>
    <row r="314" spans="1:6" s="681" customFormat="1">
      <c r="A314" s="252"/>
      <c r="B314" s="252"/>
      <c r="C314" s="296" t="s">
        <v>1694</v>
      </c>
      <c r="D314" s="389"/>
      <c r="E314" s="296"/>
      <c r="F314" s="375">
        <v>445.77</v>
      </c>
    </row>
    <row r="315" spans="1:6" s="681" customFormat="1">
      <c r="A315" s="252"/>
      <c r="B315" s="252"/>
      <c r="C315" s="371"/>
      <c r="D315" s="389"/>
      <c r="E315" s="296"/>
      <c r="F315" s="375" t="s">
        <v>1586</v>
      </c>
    </row>
    <row r="316" spans="1:6" s="681" customFormat="1">
      <c r="A316" s="252"/>
      <c r="B316" s="252"/>
      <c r="C316" s="296" t="s">
        <v>1695</v>
      </c>
      <c r="D316" s="389"/>
      <c r="E316" s="296"/>
      <c r="F316" s="742">
        <v>835.7</v>
      </c>
    </row>
    <row r="317" spans="1:6" s="681" customFormat="1">
      <c r="A317" s="252"/>
      <c r="B317" s="252"/>
      <c r="C317" s="296"/>
      <c r="D317" s="389"/>
      <c r="E317" s="296"/>
      <c r="F317" s="375"/>
    </row>
    <row r="318" spans="1:6" s="681" customFormat="1">
      <c r="A318" s="252"/>
      <c r="B318" s="252"/>
      <c r="C318" s="296" t="s">
        <v>3654</v>
      </c>
      <c r="D318" s="389"/>
      <c r="E318" s="296"/>
      <c r="F318" s="375"/>
    </row>
    <row r="319" spans="1:6" s="681" customFormat="1">
      <c r="A319" s="252"/>
      <c r="B319" s="252"/>
      <c r="C319" s="296" t="s">
        <v>3216</v>
      </c>
      <c r="D319" s="389"/>
      <c r="E319" s="296"/>
      <c r="F319" s="375"/>
    </row>
    <row r="320" spans="1:6" s="681" customFormat="1">
      <c r="A320" s="252"/>
      <c r="B320" s="252"/>
      <c r="C320" s="296" t="s">
        <v>3655</v>
      </c>
      <c r="D320" s="389"/>
      <c r="E320" s="296"/>
      <c r="F320" s="375"/>
    </row>
    <row r="321" spans="1:6" s="681" customFormat="1">
      <c r="A321" s="252"/>
      <c r="B321" s="252"/>
      <c r="C321" s="296" t="s">
        <v>653</v>
      </c>
      <c r="D321" s="252">
        <v>881</v>
      </c>
      <c r="E321" s="296" t="s">
        <v>1398</v>
      </c>
      <c r="F321" s="375">
        <v>88.1</v>
      </c>
    </row>
    <row r="322" spans="1:6" s="681" customFormat="1">
      <c r="A322" s="252"/>
      <c r="B322" s="252"/>
      <c r="C322" s="296" t="s">
        <v>348</v>
      </c>
      <c r="D322" s="252">
        <v>651</v>
      </c>
      <c r="E322" s="296" t="s">
        <v>1398</v>
      </c>
      <c r="F322" s="375">
        <v>65.099999999999994</v>
      </c>
    </row>
    <row r="323" spans="1:6" s="681" customFormat="1">
      <c r="A323" s="252"/>
      <c r="B323" s="252"/>
      <c r="C323" s="296" t="s">
        <v>5341</v>
      </c>
      <c r="D323" s="252">
        <v>18.45</v>
      </c>
      <c r="E323" s="296" t="s">
        <v>3658</v>
      </c>
      <c r="F323" s="375">
        <v>1.85</v>
      </c>
    </row>
    <row r="324" spans="1:6" s="681" customFormat="1">
      <c r="A324" s="252"/>
      <c r="B324" s="252"/>
      <c r="C324" s="252" t="s">
        <v>5342</v>
      </c>
      <c r="D324" s="252">
        <v>3.6</v>
      </c>
      <c r="E324" s="296" t="s">
        <v>1398</v>
      </c>
      <c r="F324" s="375">
        <v>1</v>
      </c>
    </row>
    <row r="325" spans="1:6" s="681" customFormat="1">
      <c r="A325" s="740"/>
      <c r="B325" s="252"/>
      <c r="C325" s="296"/>
      <c r="D325" s="252" t="s">
        <v>3659</v>
      </c>
      <c r="E325" s="296"/>
      <c r="F325" s="375">
        <v>156.05000000000001</v>
      </c>
    </row>
    <row r="326" spans="1:6" s="681" customFormat="1">
      <c r="A326" s="252"/>
      <c r="B326" s="252"/>
      <c r="C326" s="296"/>
      <c r="D326" s="252"/>
      <c r="E326" s="296"/>
      <c r="F326" s="375"/>
    </row>
    <row r="327" spans="1:6" s="681" customFormat="1">
      <c r="A327" s="252"/>
      <c r="B327" s="252"/>
      <c r="C327" s="358" t="s">
        <v>463</v>
      </c>
      <c r="D327" s="252" t="s">
        <v>3660</v>
      </c>
      <c r="E327" s="296" t="s">
        <v>3660</v>
      </c>
      <c r="F327" s="375" t="s">
        <v>3661</v>
      </c>
    </row>
    <row r="328" spans="1:6" s="681" customFormat="1">
      <c r="A328" s="252"/>
      <c r="B328" s="252"/>
      <c r="C328" s="296"/>
      <c r="D328" s="252">
        <v>331</v>
      </c>
      <c r="E328" s="296">
        <v>331</v>
      </c>
      <c r="F328" s="375">
        <v>283</v>
      </c>
    </row>
    <row r="329" spans="1:6" s="681" customFormat="1">
      <c r="A329" s="252"/>
      <c r="B329" s="252"/>
      <c r="C329" s="296" t="s">
        <v>3662</v>
      </c>
      <c r="D329" s="252">
        <v>156.05000000000001</v>
      </c>
      <c r="E329" s="296">
        <v>156.05000000000001</v>
      </c>
      <c r="F329" s="375">
        <v>156.05000000000001</v>
      </c>
    </row>
    <row r="330" spans="1:6" s="681" customFormat="1">
      <c r="A330" s="252"/>
      <c r="B330" s="252"/>
      <c r="C330" s="252" t="s">
        <v>1822</v>
      </c>
      <c r="D330" s="252">
        <v>487.05</v>
      </c>
      <c r="E330" s="296">
        <v>487.05</v>
      </c>
      <c r="F330" s="375">
        <v>439.05</v>
      </c>
    </row>
    <row r="331" spans="1:6" s="681" customFormat="1">
      <c r="A331" s="252"/>
      <c r="B331" s="252"/>
      <c r="C331" s="296"/>
      <c r="D331" s="288">
        <v>488</v>
      </c>
      <c r="E331" s="296">
        <v>488</v>
      </c>
      <c r="F331" s="742">
        <v>440</v>
      </c>
    </row>
    <row r="332" spans="1:6" s="681" customFormat="1">
      <c r="A332" s="252"/>
      <c r="B332" s="252" t="s">
        <v>2251</v>
      </c>
      <c r="C332" s="252" t="s">
        <v>6431</v>
      </c>
      <c r="D332" s="252"/>
      <c r="E332" s="296"/>
      <c r="F332" s="375"/>
    </row>
    <row r="333" spans="1:6" s="681" customFormat="1">
      <c r="A333" s="740"/>
      <c r="B333" s="252"/>
      <c r="C333" s="296" t="s">
        <v>1524</v>
      </c>
      <c r="D333" s="252"/>
      <c r="E333" s="296"/>
      <c r="F333" s="375"/>
    </row>
    <row r="334" spans="1:6" s="681" customFormat="1">
      <c r="A334" s="252"/>
      <c r="B334" s="252"/>
      <c r="C334" s="358" t="s">
        <v>1898</v>
      </c>
      <c r="D334" s="252"/>
      <c r="E334" s="296"/>
      <c r="F334" s="375"/>
    </row>
    <row r="335" spans="1:6" s="681" customFormat="1">
      <c r="A335" s="252"/>
      <c r="B335" s="252"/>
      <c r="C335" s="296" t="s">
        <v>1586</v>
      </c>
      <c r="D335" s="252"/>
      <c r="E335" s="296"/>
      <c r="F335" s="375"/>
    </row>
    <row r="336" spans="1:6" s="681" customFormat="1">
      <c r="A336" s="252">
        <v>1.34</v>
      </c>
      <c r="B336" s="252" t="s">
        <v>1645</v>
      </c>
      <c r="C336" s="296" t="s">
        <v>5351</v>
      </c>
      <c r="D336" s="252">
        <v>73.8</v>
      </c>
      <c r="E336" s="296" t="s">
        <v>1645</v>
      </c>
      <c r="F336" s="375">
        <v>98.89</v>
      </c>
    </row>
    <row r="337" spans="1:6" s="681" customFormat="1">
      <c r="A337" s="252">
        <v>0.5</v>
      </c>
      <c r="B337" s="252" t="s">
        <v>769</v>
      </c>
      <c r="C337" s="296" t="s">
        <v>1179</v>
      </c>
      <c r="D337" s="252">
        <v>797</v>
      </c>
      <c r="E337" s="296" t="s">
        <v>769</v>
      </c>
      <c r="F337" s="375">
        <v>398.5</v>
      </c>
    </row>
    <row r="338" spans="1:6" s="681" customFormat="1">
      <c r="A338" s="252">
        <v>0.5</v>
      </c>
      <c r="B338" s="252" t="s">
        <v>769</v>
      </c>
      <c r="C338" s="296" t="s">
        <v>1902</v>
      </c>
      <c r="D338" s="252">
        <v>651</v>
      </c>
      <c r="E338" s="296" t="s">
        <v>769</v>
      </c>
      <c r="F338" s="375">
        <v>325.5</v>
      </c>
    </row>
    <row r="339" spans="1:6" s="681" customFormat="1">
      <c r="A339" s="252">
        <v>0.8</v>
      </c>
      <c r="B339" s="252" t="s">
        <v>769</v>
      </c>
      <c r="C339" s="296" t="s">
        <v>320</v>
      </c>
      <c r="D339" s="252">
        <v>534</v>
      </c>
      <c r="E339" s="296" t="s">
        <v>769</v>
      </c>
      <c r="F339" s="375">
        <v>427.2</v>
      </c>
    </row>
    <row r="340" spans="1:6" s="681" customFormat="1">
      <c r="A340" s="252"/>
      <c r="B340" s="252" t="s">
        <v>449</v>
      </c>
      <c r="C340" s="252" t="s">
        <v>1181</v>
      </c>
      <c r="D340" s="252" t="s">
        <v>975</v>
      </c>
      <c r="E340" s="296" t="s">
        <v>449</v>
      </c>
      <c r="F340" s="375">
        <v>2.6</v>
      </c>
    </row>
    <row r="341" spans="1:6" s="681" customFormat="1">
      <c r="A341" s="252"/>
      <c r="B341" s="252"/>
      <c r="C341" s="296"/>
      <c r="D341" s="252"/>
      <c r="E341" s="296"/>
      <c r="F341" s="375" t="s">
        <v>1586</v>
      </c>
    </row>
    <row r="342" spans="1:6" s="681" customFormat="1">
      <c r="A342" s="252"/>
      <c r="B342" s="252"/>
      <c r="C342" s="252" t="s">
        <v>441</v>
      </c>
      <c r="D342" s="252"/>
      <c r="E342" s="296"/>
      <c r="F342" s="375">
        <v>1252.69</v>
      </c>
    </row>
    <row r="343" spans="1:6" s="681" customFormat="1">
      <c r="A343" s="252"/>
      <c r="B343" s="252"/>
      <c r="C343" s="740"/>
      <c r="D343" s="252"/>
      <c r="E343" s="296"/>
      <c r="F343" s="375" t="s">
        <v>1586</v>
      </c>
    </row>
    <row r="344" spans="1:6" s="681" customFormat="1">
      <c r="A344" s="252"/>
      <c r="B344" s="252"/>
      <c r="C344" s="252" t="s">
        <v>552</v>
      </c>
      <c r="D344" s="252"/>
      <c r="E344" s="296"/>
      <c r="F344" s="742">
        <v>125.27</v>
      </c>
    </row>
    <row r="345" spans="1:6" s="681" customFormat="1">
      <c r="A345" s="740"/>
      <c r="B345" s="252"/>
      <c r="C345" s="296"/>
      <c r="D345" s="252"/>
      <c r="E345" s="296"/>
      <c r="F345" s="375"/>
    </row>
    <row r="346" spans="1:6" s="681" customFormat="1">
      <c r="A346" s="252"/>
      <c r="B346" s="252"/>
      <c r="C346" s="358" t="s">
        <v>4246</v>
      </c>
      <c r="D346" s="252"/>
      <c r="E346" s="296"/>
      <c r="F346" s="375"/>
    </row>
    <row r="347" spans="1:6" s="681" customFormat="1">
      <c r="A347" s="252"/>
      <c r="B347" s="252"/>
      <c r="C347" s="296"/>
      <c r="D347" s="252"/>
      <c r="E347" s="296"/>
      <c r="F347" s="375"/>
    </row>
    <row r="348" spans="1:6" s="681" customFormat="1">
      <c r="A348" s="252">
        <v>1.4</v>
      </c>
      <c r="B348" s="252" t="s">
        <v>1238</v>
      </c>
      <c r="C348" s="296" t="s">
        <v>1200</v>
      </c>
      <c r="D348" s="252">
        <v>295.60000000000002</v>
      </c>
      <c r="E348" s="296" t="s">
        <v>1238</v>
      </c>
      <c r="F348" s="375">
        <v>413.84</v>
      </c>
    </row>
    <row r="349" spans="1:6" s="681" customFormat="1">
      <c r="A349" s="252">
        <v>1.5</v>
      </c>
      <c r="B349" s="252" t="s">
        <v>769</v>
      </c>
      <c r="C349" s="296" t="s">
        <v>4248</v>
      </c>
      <c r="D349" s="252">
        <v>797</v>
      </c>
      <c r="E349" s="296" t="s">
        <v>769</v>
      </c>
      <c r="F349" s="375">
        <v>1195.5</v>
      </c>
    </row>
    <row r="350" spans="1:6" s="681" customFormat="1">
      <c r="A350" s="252">
        <v>10</v>
      </c>
      <c r="B350" s="252" t="s">
        <v>2283</v>
      </c>
      <c r="C350" s="296" t="s">
        <v>3866</v>
      </c>
      <c r="D350" s="252">
        <v>4.2</v>
      </c>
      <c r="E350" s="296" t="s">
        <v>2283</v>
      </c>
      <c r="F350" s="375">
        <v>42</v>
      </c>
    </row>
    <row r="351" spans="1:6" s="681" customFormat="1">
      <c r="A351" s="252"/>
      <c r="B351" s="252"/>
      <c r="C351" s="371" t="s">
        <v>3039</v>
      </c>
      <c r="D351" s="252" t="s">
        <v>3040</v>
      </c>
      <c r="E351" s="296"/>
      <c r="F351" s="375">
        <v>4.33</v>
      </c>
    </row>
    <row r="352" spans="1:6" s="681" customFormat="1">
      <c r="A352" s="252"/>
      <c r="B352" s="252"/>
      <c r="C352" s="252" t="s">
        <v>441</v>
      </c>
      <c r="D352" s="252"/>
      <c r="E352" s="296"/>
      <c r="F352" s="375">
        <v>1655.67</v>
      </c>
    </row>
    <row r="353" spans="1:6" s="681" customFormat="1">
      <c r="A353" s="252"/>
      <c r="B353" s="252"/>
      <c r="C353" s="296" t="s">
        <v>552</v>
      </c>
      <c r="D353" s="252"/>
      <c r="E353" s="296"/>
      <c r="F353" s="742">
        <v>165.57</v>
      </c>
    </row>
    <row r="354" spans="1:6" s="681" customFormat="1">
      <c r="A354" s="252"/>
      <c r="B354" s="252" t="s">
        <v>675</v>
      </c>
      <c r="C354" s="740" t="s">
        <v>1114</v>
      </c>
      <c r="D354" s="252"/>
      <c r="E354" s="296"/>
      <c r="F354" s="375"/>
    </row>
    <row r="355" spans="1:6" s="681" customFormat="1">
      <c r="A355" s="252"/>
      <c r="B355" s="252"/>
      <c r="C355" s="740" t="s">
        <v>1586</v>
      </c>
      <c r="D355" s="252"/>
      <c r="E355" s="296"/>
      <c r="F355" s="375"/>
    </row>
    <row r="356" spans="1:6" s="681" customFormat="1">
      <c r="A356" s="252">
        <v>7.0000000000000007E-2</v>
      </c>
      <c r="B356" s="252" t="s">
        <v>869</v>
      </c>
      <c r="C356" s="252" t="s">
        <v>2004</v>
      </c>
      <c r="D356" s="252">
        <v>1348</v>
      </c>
      <c r="E356" s="296" t="s">
        <v>869</v>
      </c>
      <c r="F356" s="375">
        <v>94.36</v>
      </c>
    </row>
    <row r="357" spans="1:6" s="681" customFormat="1">
      <c r="A357" s="366">
        <v>1.6</v>
      </c>
      <c r="B357" s="252" t="s">
        <v>868</v>
      </c>
      <c r="C357" s="296" t="s">
        <v>1712</v>
      </c>
      <c r="D357" s="252">
        <v>932</v>
      </c>
      <c r="E357" s="296" t="s">
        <v>868</v>
      </c>
      <c r="F357" s="375">
        <v>1491.2</v>
      </c>
    </row>
    <row r="358" spans="1:6" s="681" customFormat="1">
      <c r="A358" s="252">
        <v>0.5</v>
      </c>
      <c r="B358" s="252" t="s">
        <v>868</v>
      </c>
      <c r="C358" s="358" t="s">
        <v>1902</v>
      </c>
      <c r="D358" s="252">
        <v>651</v>
      </c>
      <c r="E358" s="296" t="s">
        <v>868</v>
      </c>
      <c r="F358" s="375">
        <v>325.5</v>
      </c>
    </row>
    <row r="359" spans="1:6" s="681" customFormat="1">
      <c r="A359" s="252">
        <v>2.7</v>
      </c>
      <c r="B359" s="252" t="s">
        <v>868</v>
      </c>
      <c r="C359" s="371" t="s">
        <v>320</v>
      </c>
      <c r="D359" s="252">
        <v>534</v>
      </c>
      <c r="E359" s="296" t="s">
        <v>868</v>
      </c>
      <c r="F359" s="375">
        <v>1441.8</v>
      </c>
    </row>
    <row r="360" spans="1:6" s="681" customFormat="1">
      <c r="A360" s="252"/>
      <c r="B360" s="252" t="s">
        <v>449</v>
      </c>
      <c r="C360" s="296" t="s">
        <v>1836</v>
      </c>
      <c r="D360" s="252" t="s">
        <v>975</v>
      </c>
      <c r="E360" s="296" t="s">
        <v>449</v>
      </c>
      <c r="F360" s="375">
        <v>2.09</v>
      </c>
    </row>
    <row r="361" spans="1:6" s="681" customFormat="1">
      <c r="A361" s="252"/>
      <c r="B361" s="252"/>
      <c r="C361" s="296"/>
      <c r="D361" s="252"/>
      <c r="E361" s="296"/>
      <c r="F361" s="375" t="s">
        <v>1586</v>
      </c>
    </row>
    <row r="362" spans="1:6" s="681" customFormat="1">
      <c r="A362" s="252"/>
      <c r="B362" s="252"/>
      <c r="C362" s="296" t="s">
        <v>1838</v>
      </c>
      <c r="D362" s="252"/>
      <c r="E362" s="296"/>
      <c r="F362" s="375">
        <v>3354.95</v>
      </c>
    </row>
    <row r="363" spans="1:6" s="681" customFormat="1">
      <c r="A363" s="252"/>
      <c r="B363" s="252"/>
      <c r="C363" s="296"/>
      <c r="D363" s="252"/>
      <c r="E363" s="296"/>
      <c r="F363" s="375" t="s">
        <v>1586</v>
      </c>
    </row>
    <row r="364" spans="1:6" s="681" customFormat="1">
      <c r="A364" s="252"/>
      <c r="B364" s="252"/>
      <c r="C364" s="252" t="s">
        <v>552</v>
      </c>
      <c r="D364" s="252"/>
      <c r="E364" s="296"/>
      <c r="F364" s="742">
        <v>33.549999999999997</v>
      </c>
    </row>
    <row r="365" spans="1:6" s="681" customFormat="1">
      <c r="A365" s="252"/>
      <c r="B365" s="252"/>
      <c r="C365" s="296"/>
      <c r="D365" s="252"/>
      <c r="E365" s="296"/>
      <c r="F365" s="375"/>
    </row>
    <row r="366" spans="1:6" s="681" customFormat="1">
      <c r="A366" s="252"/>
      <c r="B366" s="252"/>
      <c r="C366" s="252" t="s">
        <v>3041</v>
      </c>
      <c r="D366" s="252"/>
      <c r="E366" s="296"/>
      <c r="F366" s="375"/>
    </row>
    <row r="367" spans="1:6" s="681" customFormat="1">
      <c r="A367" s="252"/>
      <c r="B367" s="252"/>
      <c r="C367" s="740" t="s">
        <v>1045</v>
      </c>
      <c r="D367" s="252"/>
      <c r="E367" s="296"/>
      <c r="F367" s="375"/>
    </row>
    <row r="368" spans="1:6" s="681" customFormat="1">
      <c r="A368" s="252"/>
      <c r="B368" s="252"/>
      <c r="C368" s="252" t="s">
        <v>1237</v>
      </c>
      <c r="D368" s="252"/>
      <c r="E368" s="296"/>
      <c r="F368" s="375"/>
    </row>
    <row r="369" spans="1:6" s="681" customFormat="1">
      <c r="A369" s="740"/>
      <c r="B369" s="252"/>
      <c r="C369" s="296"/>
      <c r="D369" s="252"/>
      <c r="E369" s="740"/>
      <c r="F369" s="375"/>
    </row>
    <row r="370" spans="1:6" s="681" customFormat="1">
      <c r="A370" s="252">
        <v>1.1100000000000001</v>
      </c>
      <c r="B370" s="252" t="s">
        <v>2570</v>
      </c>
      <c r="C370" s="296" t="s">
        <v>1180</v>
      </c>
      <c r="D370" s="252">
        <v>227.6</v>
      </c>
      <c r="E370" s="740" t="s">
        <v>2570</v>
      </c>
      <c r="F370" s="375">
        <v>252.64</v>
      </c>
    </row>
    <row r="371" spans="1:6" s="681" customFormat="1">
      <c r="A371" s="252">
        <v>0.7</v>
      </c>
      <c r="B371" s="252" t="s">
        <v>258</v>
      </c>
      <c r="C371" s="296" t="s">
        <v>1179</v>
      </c>
      <c r="D371" s="252">
        <v>797</v>
      </c>
      <c r="E371" s="740" t="s">
        <v>258</v>
      </c>
      <c r="F371" s="375">
        <v>557.9</v>
      </c>
    </row>
    <row r="372" spans="1:6" s="681" customFormat="1">
      <c r="A372" s="252">
        <v>10</v>
      </c>
      <c r="B372" s="252" t="s">
        <v>2283</v>
      </c>
      <c r="C372" s="296" t="s">
        <v>5346</v>
      </c>
      <c r="D372" s="252">
        <v>9.1</v>
      </c>
      <c r="E372" s="740" t="s">
        <v>2283</v>
      </c>
      <c r="F372" s="375">
        <v>91</v>
      </c>
    </row>
    <row r="373" spans="1:6" s="681" customFormat="1">
      <c r="A373" s="252"/>
      <c r="B373" s="252"/>
      <c r="C373" s="358" t="s">
        <v>3039</v>
      </c>
      <c r="D373" s="252" t="s">
        <v>657</v>
      </c>
      <c r="E373" s="740"/>
      <c r="F373" s="375">
        <v>2.8</v>
      </c>
    </row>
    <row r="374" spans="1:6" s="681" customFormat="1">
      <c r="A374" s="252"/>
      <c r="B374" s="252"/>
      <c r="C374" s="296" t="s">
        <v>441</v>
      </c>
      <c r="D374" s="252"/>
      <c r="E374" s="740"/>
      <c r="F374" s="375">
        <v>904.34</v>
      </c>
    </row>
    <row r="375" spans="1:6" s="681" customFormat="1">
      <c r="A375" s="252"/>
      <c r="B375" s="252"/>
      <c r="C375" s="296"/>
      <c r="D375" s="252"/>
      <c r="E375" s="740"/>
      <c r="F375" s="375"/>
    </row>
    <row r="376" spans="1:6" s="681" customFormat="1">
      <c r="A376" s="252"/>
      <c r="B376" s="252"/>
      <c r="C376" s="296" t="s">
        <v>552</v>
      </c>
      <c r="D376" s="252"/>
      <c r="E376" s="740"/>
      <c r="F376" s="742">
        <v>90.43</v>
      </c>
    </row>
    <row r="377" spans="1:6" s="681" customFormat="1">
      <c r="A377" s="252"/>
      <c r="B377" s="252"/>
      <c r="C377" s="296"/>
      <c r="D377" s="252"/>
      <c r="E377" s="740"/>
      <c r="F377" s="375"/>
    </row>
    <row r="378" spans="1:6" s="681" customFormat="1">
      <c r="A378" s="252"/>
      <c r="B378" s="252"/>
      <c r="C378" s="252"/>
      <c r="D378" s="252"/>
      <c r="E378" s="740"/>
      <c r="F378" s="375"/>
    </row>
    <row r="379" spans="1:6" s="681" customFormat="1">
      <c r="A379" s="740"/>
      <c r="B379" s="252"/>
      <c r="C379" s="296" t="s">
        <v>3041</v>
      </c>
      <c r="D379" s="252"/>
      <c r="E379" s="740"/>
      <c r="F379" s="375"/>
    </row>
    <row r="380" spans="1:6" s="681" customFormat="1">
      <c r="A380" s="252"/>
      <c r="B380" s="252"/>
      <c r="C380" s="296" t="s">
        <v>1376</v>
      </c>
      <c r="D380" s="252"/>
      <c r="E380" s="740"/>
      <c r="F380" s="375"/>
    </row>
    <row r="381" spans="1:6" s="681" customFormat="1">
      <c r="A381" s="252"/>
      <c r="B381" s="252"/>
      <c r="C381" s="296" t="s">
        <v>1237</v>
      </c>
      <c r="D381" s="252"/>
      <c r="E381" s="740"/>
      <c r="F381" s="375"/>
    </row>
    <row r="382" spans="1:6" s="681" customFormat="1">
      <c r="A382" s="252"/>
      <c r="B382" s="252"/>
      <c r="C382" s="358"/>
      <c r="D382" s="252"/>
      <c r="E382" s="740"/>
      <c r="F382" s="375"/>
    </row>
    <row r="383" spans="1:6" s="681" customFormat="1">
      <c r="A383" s="252">
        <v>1.33</v>
      </c>
      <c r="B383" s="252" t="s">
        <v>2570</v>
      </c>
      <c r="C383" s="296" t="s">
        <v>1180</v>
      </c>
      <c r="D383" s="252">
        <v>238.9</v>
      </c>
      <c r="E383" s="296" t="s">
        <v>2570</v>
      </c>
      <c r="F383" s="375">
        <v>317.74</v>
      </c>
    </row>
    <row r="384" spans="1:6" s="681" customFormat="1">
      <c r="A384" s="252">
        <v>0.7</v>
      </c>
      <c r="B384" s="252" t="s">
        <v>258</v>
      </c>
      <c r="C384" s="296" t="s">
        <v>1179</v>
      </c>
      <c r="D384" s="252">
        <v>797</v>
      </c>
      <c r="E384" s="252" t="s">
        <v>258</v>
      </c>
      <c r="F384" s="375">
        <v>557.9</v>
      </c>
    </row>
    <row r="385" spans="1:6" s="681" customFormat="1">
      <c r="A385" s="252">
        <v>10</v>
      </c>
      <c r="B385" s="252" t="s">
        <v>2283</v>
      </c>
      <c r="C385" s="296" t="s">
        <v>4598</v>
      </c>
      <c r="D385" s="252">
        <v>9.85</v>
      </c>
      <c r="E385" s="252" t="s">
        <v>2283</v>
      </c>
      <c r="F385" s="375">
        <v>98.5</v>
      </c>
    </row>
    <row r="386" spans="1:6" s="681" customFormat="1">
      <c r="A386" s="252"/>
      <c r="B386" s="252"/>
      <c r="C386" s="296" t="s">
        <v>3039</v>
      </c>
      <c r="D386" s="252" t="s">
        <v>657</v>
      </c>
      <c r="E386" s="252"/>
      <c r="F386" s="375">
        <v>3.43</v>
      </c>
    </row>
    <row r="387" spans="1:6" s="681" customFormat="1">
      <c r="A387" s="252"/>
      <c r="B387" s="252"/>
      <c r="C387" s="296" t="s">
        <v>441</v>
      </c>
      <c r="D387" s="252"/>
      <c r="E387" s="740"/>
      <c r="F387" s="375">
        <v>977.57</v>
      </c>
    </row>
    <row r="388" spans="1:6" s="681" customFormat="1">
      <c r="A388" s="252"/>
      <c r="B388" s="252"/>
      <c r="C388" s="252"/>
      <c r="D388" s="252"/>
      <c r="E388" s="740"/>
      <c r="F388" s="375"/>
    </row>
    <row r="389" spans="1:6" s="681" customFormat="1">
      <c r="A389" s="252"/>
      <c r="B389" s="252"/>
      <c r="C389" s="296" t="s">
        <v>552</v>
      </c>
      <c r="D389" s="252"/>
      <c r="E389" s="740"/>
      <c r="F389" s="742">
        <v>97.76</v>
      </c>
    </row>
    <row r="390" spans="1:6" s="681" customFormat="1">
      <c r="A390" s="252"/>
      <c r="B390" s="252"/>
      <c r="C390" s="252"/>
      <c r="D390" s="252"/>
      <c r="E390" s="740"/>
      <c r="F390" s="375"/>
    </row>
    <row r="391" spans="1:6" s="681" customFormat="1">
      <c r="A391" s="744" t="s">
        <v>1938</v>
      </c>
      <c r="B391" s="283" t="s">
        <v>2251</v>
      </c>
      <c r="C391" s="745" t="s">
        <v>6110</v>
      </c>
      <c r="D391" s="283"/>
      <c r="E391" s="374"/>
      <c r="F391" s="283"/>
    </row>
    <row r="392" spans="1:6" s="681" customFormat="1">
      <c r="A392" s="283"/>
      <c r="B392" s="283"/>
      <c r="C392" s="374" t="s">
        <v>1939</v>
      </c>
      <c r="D392" s="283"/>
      <c r="E392" s="374"/>
      <c r="F392" s="283"/>
    </row>
    <row r="393" spans="1:6" s="681" customFormat="1">
      <c r="A393" s="283"/>
      <c r="B393" s="283"/>
      <c r="C393" s="374" t="s">
        <v>1940</v>
      </c>
      <c r="D393" s="283"/>
      <c r="E393" s="374"/>
      <c r="F393" s="283"/>
    </row>
    <row r="394" spans="1:6" s="681" customFormat="1">
      <c r="A394" s="283"/>
      <c r="B394" s="283"/>
      <c r="C394" s="374" t="s">
        <v>756</v>
      </c>
      <c r="D394" s="283"/>
      <c r="E394" s="374"/>
      <c r="F394" s="283"/>
    </row>
    <row r="395" spans="1:6" s="681" customFormat="1">
      <c r="A395" s="283"/>
      <c r="B395" s="283"/>
      <c r="C395" s="374" t="s">
        <v>749</v>
      </c>
      <c r="D395" s="283"/>
      <c r="E395" s="374"/>
      <c r="F395" s="283"/>
    </row>
    <row r="396" spans="1:6" s="681" customFormat="1">
      <c r="A396" s="283"/>
      <c r="B396" s="283"/>
      <c r="C396" s="748" t="s">
        <v>1586</v>
      </c>
      <c r="D396" s="283"/>
      <c r="E396" s="374"/>
      <c r="F396" s="283"/>
    </row>
    <row r="397" spans="1:6" s="681" customFormat="1">
      <c r="A397" s="283">
        <v>12.8</v>
      </c>
      <c r="B397" s="283" t="s">
        <v>869</v>
      </c>
      <c r="C397" s="374" t="s">
        <v>750</v>
      </c>
      <c r="D397" s="283">
        <f>(Data!C83)</f>
        <v>893.26</v>
      </c>
      <c r="E397" s="374" t="s">
        <v>869</v>
      </c>
      <c r="F397" s="283">
        <f>(A397*D397)</f>
        <v>11433.73</v>
      </c>
    </row>
    <row r="398" spans="1:6" s="681" customFormat="1">
      <c r="A398" s="283">
        <v>5</v>
      </c>
      <c r="B398" s="283" t="s">
        <v>869</v>
      </c>
      <c r="C398" s="374" t="s">
        <v>751</v>
      </c>
      <c r="D398" s="283">
        <f>(Data!C86)</f>
        <v>1113.94</v>
      </c>
      <c r="E398" s="374" t="s">
        <v>869</v>
      </c>
      <c r="F398" s="283">
        <f>(A398*D398)</f>
        <v>5569.7</v>
      </c>
    </row>
    <row r="399" spans="1:6" s="681" customFormat="1">
      <c r="A399" s="283">
        <v>1.8</v>
      </c>
      <c r="B399" s="283" t="s">
        <v>769</v>
      </c>
      <c r="C399" s="374" t="s">
        <v>2009</v>
      </c>
      <c r="D399" s="283">
        <f>(Data!C10)</f>
        <v>999</v>
      </c>
      <c r="E399" s="374" t="s">
        <v>769</v>
      </c>
      <c r="F399" s="283">
        <f>(A399*D399)</f>
        <v>1798.2</v>
      </c>
    </row>
    <row r="400" spans="1:6" s="681" customFormat="1">
      <c r="A400" s="283">
        <v>17.7</v>
      </c>
      <c r="B400" s="283" t="s">
        <v>769</v>
      </c>
      <c r="C400" s="374" t="s">
        <v>934</v>
      </c>
      <c r="D400" s="283">
        <f>(Data!C12)</f>
        <v>651</v>
      </c>
      <c r="E400" s="374" t="s">
        <v>769</v>
      </c>
      <c r="F400" s="283">
        <f>(A400*D400)</f>
        <v>11522.7</v>
      </c>
    </row>
    <row r="401" spans="1:6" s="681" customFormat="1">
      <c r="A401" s="283">
        <v>14.1</v>
      </c>
      <c r="B401" s="283" t="s">
        <v>769</v>
      </c>
      <c r="C401" s="374" t="s">
        <v>320</v>
      </c>
      <c r="D401" s="283">
        <f>(Data!C13)</f>
        <v>534</v>
      </c>
      <c r="E401" s="374" t="s">
        <v>769</v>
      </c>
      <c r="F401" s="283">
        <f>(A401*D401)</f>
        <v>7529.4</v>
      </c>
    </row>
    <row r="402" spans="1:6" s="681" customFormat="1">
      <c r="A402" s="283"/>
      <c r="B402" s="283" t="s">
        <v>449</v>
      </c>
      <c r="C402" s="374" t="s">
        <v>450</v>
      </c>
      <c r="D402" s="283"/>
      <c r="E402" s="374" t="s">
        <v>449</v>
      </c>
      <c r="F402" s="283">
        <v>0</v>
      </c>
    </row>
    <row r="403" spans="1:6" s="681" customFormat="1">
      <c r="A403" s="283"/>
      <c r="B403" s="283"/>
      <c r="C403" s="283"/>
      <c r="D403" s="283"/>
      <c r="E403" s="374"/>
      <c r="F403" s="748" t="s">
        <v>1586</v>
      </c>
    </row>
    <row r="404" spans="1:6" s="681" customFormat="1">
      <c r="A404" s="283"/>
      <c r="B404" s="283"/>
      <c r="C404" s="374" t="s">
        <v>614</v>
      </c>
      <c r="D404" s="283"/>
      <c r="E404" s="374"/>
      <c r="F404" s="283">
        <f>SUM(F397:F403)</f>
        <v>37853.730000000003</v>
      </c>
    </row>
    <row r="405" spans="1:6" s="681" customFormat="1" ht="16.5" thickBot="1">
      <c r="A405" s="283"/>
      <c r="B405" s="283"/>
      <c r="C405" s="283"/>
      <c r="D405" s="283"/>
      <c r="E405" s="374"/>
      <c r="F405" s="748" t="s">
        <v>1586</v>
      </c>
    </row>
    <row r="406" spans="1:6" s="681" customFormat="1" ht="16.5" thickBot="1">
      <c r="A406" s="283"/>
      <c r="B406" s="283"/>
      <c r="C406" s="757" t="s">
        <v>773</v>
      </c>
      <c r="D406" s="283"/>
      <c r="E406" s="374"/>
      <c r="F406" s="957">
        <f>(F404/10)</f>
        <v>3785.37</v>
      </c>
    </row>
    <row r="407" spans="1:6" s="681" customFormat="1">
      <c r="A407" s="283"/>
      <c r="B407" s="283"/>
      <c r="C407" s="283"/>
      <c r="D407" s="283"/>
      <c r="E407" s="374"/>
      <c r="F407" s="748" t="s">
        <v>2055</v>
      </c>
    </row>
    <row r="408" spans="1:6" s="681" customFormat="1" ht="16.5" thickBot="1">
      <c r="A408" s="252"/>
      <c r="B408" s="252"/>
      <c r="C408" s="296"/>
      <c r="D408" s="252"/>
      <c r="E408" s="296"/>
      <c r="F408" s="375"/>
    </row>
    <row r="409" spans="1:6" s="681" customFormat="1" ht="16.5" thickBot="1">
      <c r="A409" s="744">
        <v>39</v>
      </c>
      <c r="B409" s="283"/>
      <c r="C409" s="374" t="s">
        <v>5311</v>
      </c>
      <c r="D409" s="283">
        <f>Data!C661</f>
        <v>70.150000000000006</v>
      </c>
      <c r="E409" s="374" t="s">
        <v>1645</v>
      </c>
      <c r="F409" s="957">
        <f>D409</f>
        <v>70.150000000000006</v>
      </c>
    </row>
    <row r="410" spans="1:6" s="681" customFormat="1">
      <c r="A410" s="252"/>
      <c r="B410" s="252"/>
      <c r="C410" s="371"/>
      <c r="D410" s="252"/>
      <c r="E410" s="252"/>
      <c r="F410" s="375"/>
    </row>
    <row r="411" spans="1:6" s="681" customFormat="1">
      <c r="A411" s="774">
        <v>41</v>
      </c>
      <c r="B411" s="283" t="s">
        <v>2251</v>
      </c>
      <c r="C411" s="374" t="s">
        <v>1375</v>
      </c>
      <c r="D411" s="283"/>
      <c r="E411" s="374"/>
      <c r="F411" s="283"/>
    </row>
    <row r="412" spans="1:6" s="681" customFormat="1">
      <c r="A412" s="283"/>
      <c r="B412" s="283"/>
      <c r="C412" s="374" t="s">
        <v>1045</v>
      </c>
      <c r="D412" s="283"/>
      <c r="E412" s="374"/>
      <c r="F412" s="283"/>
    </row>
    <row r="413" spans="1:6" s="681" customFormat="1">
      <c r="A413" s="283"/>
      <c r="B413" s="283"/>
      <c r="C413" s="374" t="s">
        <v>1237</v>
      </c>
      <c r="D413" s="283"/>
      <c r="E413" s="374"/>
      <c r="F413" s="283"/>
    </row>
    <row r="414" spans="1:6" s="681" customFormat="1">
      <c r="A414" s="283"/>
      <c r="B414" s="283"/>
      <c r="C414" s="748" t="s">
        <v>1586</v>
      </c>
      <c r="D414" s="283"/>
      <c r="E414" s="374"/>
      <c r="F414" s="283"/>
    </row>
    <row r="415" spans="1:6" s="681" customFormat="1">
      <c r="A415" s="283">
        <v>2.2200000000000002</v>
      </c>
      <c r="B415" s="283" t="s">
        <v>1238</v>
      </c>
      <c r="C415" s="374" t="s">
        <v>1180</v>
      </c>
      <c r="D415" s="283">
        <f>(Data!C208)</f>
        <v>227.6</v>
      </c>
      <c r="E415" s="374" t="s">
        <v>1238</v>
      </c>
      <c r="F415" s="283">
        <f>(A415*D415)</f>
        <v>505.27</v>
      </c>
    </row>
    <row r="416" spans="1:6" s="681" customFormat="1">
      <c r="A416" s="283">
        <v>1.1000000000000001</v>
      </c>
      <c r="B416" s="283" t="s">
        <v>769</v>
      </c>
      <c r="C416" s="374" t="s">
        <v>1179</v>
      </c>
      <c r="D416" s="283">
        <f>(Data!C14)</f>
        <v>797</v>
      </c>
      <c r="E416" s="374" t="s">
        <v>769</v>
      </c>
      <c r="F416" s="283">
        <f>(A416*D416)</f>
        <v>876.7</v>
      </c>
    </row>
    <row r="417" spans="1:6" s="681" customFormat="1">
      <c r="A417" s="283"/>
      <c r="B417" s="283" t="s">
        <v>449</v>
      </c>
      <c r="C417" s="374" t="s">
        <v>1181</v>
      </c>
      <c r="D417" s="374" t="s">
        <v>975</v>
      </c>
      <c r="E417" s="374" t="s">
        <v>449</v>
      </c>
      <c r="F417" s="283">
        <v>1.5</v>
      </c>
    </row>
    <row r="418" spans="1:6" s="681" customFormat="1">
      <c r="A418" s="283"/>
      <c r="B418" s="283"/>
      <c r="C418" s="283"/>
      <c r="D418" s="283"/>
      <c r="E418" s="374"/>
      <c r="F418" s="748" t="s">
        <v>1586</v>
      </c>
    </row>
    <row r="419" spans="1:6" s="681" customFormat="1">
      <c r="A419" s="283"/>
      <c r="B419" s="283"/>
      <c r="C419" s="374" t="s">
        <v>441</v>
      </c>
      <c r="D419" s="283"/>
      <c r="E419" s="374"/>
      <c r="F419" s="283">
        <f>SUM(F415:F417)</f>
        <v>1383.47</v>
      </c>
    </row>
    <row r="420" spans="1:6" s="681" customFormat="1" ht="16.5" thickBot="1">
      <c r="A420" s="283"/>
      <c r="B420" s="283"/>
      <c r="C420" s="283"/>
      <c r="D420" s="283"/>
      <c r="E420" s="374"/>
      <c r="F420" s="748" t="s">
        <v>1586</v>
      </c>
    </row>
    <row r="421" spans="1:6" s="681" customFormat="1" ht="16.5" thickBot="1">
      <c r="A421" s="283"/>
      <c r="B421" s="283"/>
      <c r="C421" s="757" t="s">
        <v>552</v>
      </c>
      <c r="D421" s="751"/>
      <c r="E421" s="745"/>
      <c r="F421" s="957">
        <f>(F419/10)</f>
        <v>138.35</v>
      </c>
    </row>
    <row r="422" spans="1:6" s="681" customFormat="1">
      <c r="A422" s="252"/>
      <c r="B422" s="296"/>
      <c r="C422" s="296"/>
      <c r="D422" s="252"/>
      <c r="E422" s="296"/>
      <c r="F422" s="375"/>
    </row>
    <row r="423" spans="1:6" s="681" customFormat="1">
      <c r="A423" s="261"/>
      <c r="B423" s="261"/>
      <c r="C423" s="272" t="s">
        <v>3120</v>
      </c>
      <c r="D423" s="261"/>
      <c r="E423" s="261"/>
      <c r="F423" s="261"/>
    </row>
    <row r="424" spans="1:6" s="681" customFormat="1">
      <c r="A424" s="261"/>
      <c r="B424" s="261"/>
      <c r="C424" s="261"/>
      <c r="D424" s="261"/>
      <c r="E424" s="261"/>
      <c r="F424" s="261"/>
    </row>
    <row r="425" spans="1:6" s="681" customFormat="1" ht="126">
      <c r="A425" s="261"/>
      <c r="B425" s="261"/>
      <c r="C425" s="260" t="s">
        <v>2994</v>
      </c>
      <c r="D425" s="261"/>
      <c r="E425" s="261"/>
      <c r="F425" s="261"/>
    </row>
    <row r="426" spans="1:6" s="681" customFormat="1">
      <c r="A426" s="261"/>
      <c r="B426" s="261"/>
      <c r="C426" s="261"/>
      <c r="D426" s="261"/>
      <c r="E426" s="261"/>
      <c r="F426" s="261"/>
    </row>
    <row r="427" spans="1:6" s="681" customFormat="1">
      <c r="A427" s="261"/>
      <c r="B427" s="261"/>
      <c r="C427" s="261" t="s">
        <v>3121</v>
      </c>
      <c r="D427" s="261"/>
      <c r="E427" s="261"/>
      <c r="F427" s="261">
        <f>Elec.Data!K1119</f>
        <v>11804.7</v>
      </c>
    </row>
    <row r="428" spans="1:6" s="681" customFormat="1" ht="31.5">
      <c r="A428" s="261">
        <v>180</v>
      </c>
      <c r="B428" s="261" t="s">
        <v>826</v>
      </c>
      <c r="C428" s="260" t="s">
        <v>3226</v>
      </c>
      <c r="D428" s="261">
        <f>Elec.Data!I257</f>
        <v>25.75</v>
      </c>
      <c r="E428" s="261" t="s">
        <v>826</v>
      </c>
      <c r="F428" s="261">
        <f>A428*D428</f>
        <v>4635</v>
      </c>
    </row>
    <row r="429" spans="1:6" s="681" customFormat="1" ht="31.5">
      <c r="A429" s="261">
        <v>180</v>
      </c>
      <c r="B429" s="261" t="s">
        <v>826</v>
      </c>
      <c r="C429" s="260" t="s">
        <v>2943</v>
      </c>
      <c r="D429" s="261">
        <f>Elec.Data!I1109</f>
        <v>16.55</v>
      </c>
      <c r="E429" s="261" t="s">
        <v>2539</v>
      </c>
      <c r="F429" s="261">
        <f>A429*D429</f>
        <v>2979</v>
      </c>
    </row>
    <row r="430" spans="1:6" s="681" customFormat="1">
      <c r="A430" s="261"/>
      <c r="B430" s="261"/>
      <c r="C430" s="261" t="s">
        <v>2271</v>
      </c>
      <c r="D430" s="261"/>
      <c r="E430" s="261"/>
      <c r="F430" s="261"/>
    </row>
    <row r="431" spans="1:6" s="681" customFormat="1" ht="16.5" thickBot="1">
      <c r="A431" s="261"/>
      <c r="B431" s="261"/>
      <c r="C431" s="269" t="s">
        <v>2944</v>
      </c>
      <c r="D431" s="261"/>
      <c r="E431" s="261"/>
      <c r="F431" s="270">
        <f>F427+F428-F429+F430</f>
        <v>13460.7</v>
      </c>
    </row>
    <row r="432" spans="1:6" s="681" customFormat="1" ht="16.5" thickBot="1">
      <c r="A432" s="261"/>
      <c r="B432" s="261"/>
      <c r="C432" s="271" t="s">
        <v>2394</v>
      </c>
      <c r="D432" s="261"/>
      <c r="E432" s="261"/>
      <c r="F432" s="958">
        <f>F431/90</f>
        <v>149.56</v>
      </c>
    </row>
    <row r="433" spans="1:6" s="681" customFormat="1">
      <c r="A433" s="252"/>
      <c r="B433" s="252"/>
      <c r="C433" s="252"/>
      <c r="D433" s="252"/>
      <c r="E433" s="252"/>
      <c r="F433" s="375"/>
    </row>
    <row r="434" spans="1:6" s="681" customFormat="1">
      <c r="A434" s="261"/>
      <c r="B434" s="261"/>
      <c r="C434" s="272" t="s">
        <v>4034</v>
      </c>
      <c r="D434" s="261"/>
      <c r="E434" s="261"/>
      <c r="F434" s="261"/>
    </row>
    <row r="435" spans="1:6" s="681" customFormat="1">
      <c r="A435" s="261"/>
      <c r="B435" s="261"/>
      <c r="C435" s="261"/>
      <c r="D435" s="261"/>
      <c r="E435" s="261"/>
      <c r="F435" s="261"/>
    </row>
    <row r="436" spans="1:6" s="681" customFormat="1" ht="126">
      <c r="A436" s="261"/>
      <c r="B436" s="261"/>
      <c r="C436" s="260" t="s">
        <v>2994</v>
      </c>
      <c r="D436" s="261"/>
      <c r="E436" s="261"/>
      <c r="F436" s="261"/>
    </row>
    <row r="437" spans="1:6" s="681" customFormat="1">
      <c r="A437" s="261"/>
      <c r="B437" s="261"/>
      <c r="C437" s="261"/>
      <c r="D437" s="261"/>
      <c r="E437" s="261"/>
      <c r="F437" s="261"/>
    </row>
    <row r="438" spans="1:6" s="681" customFormat="1">
      <c r="A438" s="261"/>
      <c r="B438" s="261"/>
      <c r="C438" s="261" t="s">
        <v>3121</v>
      </c>
      <c r="D438" s="261"/>
      <c r="E438" s="261"/>
      <c r="F438" s="261">
        <f>'Print Data (2)'!F427</f>
        <v>11804.7</v>
      </c>
    </row>
    <row r="439" spans="1:6" s="681" customFormat="1" ht="31.5">
      <c r="A439" s="261">
        <v>180</v>
      </c>
      <c r="B439" s="261" t="s">
        <v>826</v>
      </c>
      <c r="C439" s="260" t="s">
        <v>4300</v>
      </c>
      <c r="D439" s="261">
        <f>Elec.Data!I701</f>
        <v>40.950000000000003</v>
      </c>
      <c r="E439" s="261" t="s">
        <v>826</v>
      </c>
      <c r="F439" s="261">
        <f>A439*D439</f>
        <v>7371</v>
      </c>
    </row>
    <row r="440" spans="1:6" s="681" customFormat="1" ht="31.5">
      <c r="A440" s="261">
        <v>180</v>
      </c>
      <c r="B440" s="261" t="s">
        <v>826</v>
      </c>
      <c r="C440" s="260" t="s">
        <v>2943</v>
      </c>
      <c r="D440" s="261">
        <f>'Print Data (2)'!D429</f>
        <v>16.55</v>
      </c>
      <c r="E440" s="261" t="s">
        <v>2539</v>
      </c>
      <c r="F440" s="261">
        <f>A440*D440</f>
        <v>2979</v>
      </c>
    </row>
    <row r="441" spans="1:6" s="681" customFormat="1">
      <c r="A441" s="261"/>
      <c r="B441" s="261"/>
      <c r="C441" s="261" t="s">
        <v>2271</v>
      </c>
      <c r="D441" s="261"/>
      <c r="E441" s="261"/>
      <c r="F441" s="261"/>
    </row>
    <row r="442" spans="1:6" s="681" customFormat="1" ht="16.5" thickBot="1">
      <c r="A442" s="261"/>
      <c r="B442" s="261"/>
      <c r="C442" s="269" t="s">
        <v>2944</v>
      </c>
      <c r="D442" s="261"/>
      <c r="E442" s="261"/>
      <c r="F442" s="270">
        <f>F438+F439-F440+F441</f>
        <v>16196.7</v>
      </c>
    </row>
    <row r="443" spans="1:6" s="681" customFormat="1" ht="16.5" thickBot="1">
      <c r="A443" s="261"/>
      <c r="B443" s="261"/>
      <c r="C443" s="271" t="s">
        <v>2394</v>
      </c>
      <c r="D443" s="261"/>
      <c r="E443" s="261"/>
      <c r="F443" s="958">
        <f>F442/90</f>
        <v>179.96</v>
      </c>
    </row>
    <row r="444" spans="1:6" s="681" customFormat="1">
      <c r="A444" s="252"/>
      <c r="B444" s="252"/>
      <c r="C444" s="252"/>
      <c r="D444" s="252"/>
      <c r="E444" s="740"/>
      <c r="F444" s="375"/>
    </row>
    <row r="445" spans="1:6" s="681" customFormat="1">
      <c r="A445" s="252"/>
      <c r="B445" s="252"/>
      <c r="C445" s="252"/>
      <c r="D445" s="252"/>
      <c r="E445" s="740"/>
      <c r="F445" s="375"/>
    </row>
    <row r="446" spans="1:6" s="681" customFormat="1">
      <c r="A446" s="261"/>
      <c r="B446" s="261"/>
      <c r="C446" s="272" t="s">
        <v>2391</v>
      </c>
      <c r="D446" s="261"/>
      <c r="E446" s="261"/>
      <c r="F446" s="261"/>
    </row>
    <row r="447" spans="1:6" s="681" customFormat="1">
      <c r="A447" s="261"/>
      <c r="B447" s="261"/>
      <c r="C447" s="261"/>
      <c r="D447" s="261"/>
      <c r="E447" s="261"/>
      <c r="F447" s="261"/>
    </row>
    <row r="448" spans="1:6" s="681" customFormat="1" ht="126">
      <c r="A448" s="261"/>
      <c r="B448" s="261"/>
      <c r="C448" s="260" t="s">
        <v>2392</v>
      </c>
      <c r="D448" s="261"/>
      <c r="E448" s="261"/>
      <c r="F448" s="261"/>
    </row>
    <row r="449" spans="1:6" s="681" customFormat="1">
      <c r="A449" s="261"/>
      <c r="B449" s="261"/>
      <c r="C449" s="261"/>
      <c r="D449" s="261"/>
      <c r="E449" s="261"/>
      <c r="F449" s="261"/>
    </row>
    <row r="450" spans="1:6" s="681" customFormat="1" ht="31.5">
      <c r="A450" s="261">
        <v>180</v>
      </c>
      <c r="B450" s="261" t="s">
        <v>826</v>
      </c>
      <c r="C450" s="262" t="s">
        <v>2538</v>
      </c>
      <c r="D450" s="261">
        <f>Elec.Data!I218</f>
        <v>16.55</v>
      </c>
      <c r="E450" s="261" t="s">
        <v>826</v>
      </c>
      <c r="F450" s="261">
        <f>A450*D450</f>
        <v>2979</v>
      </c>
    </row>
    <row r="451" spans="1:6" s="681" customFormat="1" ht="31.5">
      <c r="A451" s="261">
        <v>90</v>
      </c>
      <c r="B451" s="261" t="s">
        <v>826</v>
      </c>
      <c r="C451" s="260" t="s">
        <v>2364</v>
      </c>
      <c r="D451" s="261">
        <f>Elec.Data!I219</f>
        <v>20</v>
      </c>
      <c r="E451" s="261" t="s">
        <v>826</v>
      </c>
      <c r="F451" s="261">
        <f>A451*D451</f>
        <v>1800</v>
      </c>
    </row>
    <row r="452" spans="1:6" s="681" customFormat="1">
      <c r="A452" s="261">
        <v>3</v>
      </c>
      <c r="B452" s="261" t="s">
        <v>2632</v>
      </c>
      <c r="C452" s="261" t="s">
        <v>390</v>
      </c>
      <c r="D452" s="261">
        <f>Elec.Data!I227</f>
        <v>302</v>
      </c>
      <c r="E452" s="261" t="s">
        <v>2632</v>
      </c>
      <c r="F452" s="261">
        <f>A452*D452</f>
        <v>906</v>
      </c>
    </row>
    <row r="453" spans="1:6" s="681" customFormat="1" ht="31.5">
      <c r="A453" s="261">
        <v>90</v>
      </c>
      <c r="B453" s="261" t="s">
        <v>826</v>
      </c>
      <c r="C453" s="262" t="s">
        <v>2638</v>
      </c>
      <c r="D453" s="261">
        <f>D450</f>
        <v>16.55</v>
      </c>
      <c r="E453" s="261" t="s">
        <v>2539</v>
      </c>
      <c r="F453" s="261">
        <f>A453*D453</f>
        <v>1489.5</v>
      </c>
    </row>
    <row r="454" spans="1:6" s="681" customFormat="1">
      <c r="A454" s="261"/>
      <c r="B454" s="261"/>
      <c r="C454" s="261" t="s">
        <v>915</v>
      </c>
      <c r="D454" s="261"/>
      <c r="E454" s="261"/>
      <c r="F454" s="261">
        <f>Elec.Data!K229</f>
        <v>12075</v>
      </c>
    </row>
    <row r="455" spans="1:6" s="681" customFormat="1">
      <c r="A455" s="261"/>
      <c r="B455" s="261"/>
      <c r="C455" s="261"/>
      <c r="D455" s="261"/>
      <c r="E455" s="261"/>
      <c r="F455" s="261">
        <f>SUM(F450:F454)</f>
        <v>19249.5</v>
      </c>
    </row>
    <row r="456" spans="1:6" s="681" customFormat="1">
      <c r="A456" s="261"/>
      <c r="B456" s="261"/>
      <c r="C456" s="261" t="s">
        <v>2271</v>
      </c>
      <c r="D456" s="261"/>
      <c r="E456" s="261"/>
      <c r="F456" s="261">
        <v>91.5</v>
      </c>
    </row>
    <row r="457" spans="1:6" s="681" customFormat="1" ht="16.5" thickBot="1">
      <c r="A457" s="261"/>
      <c r="B457" s="261"/>
      <c r="C457" s="269" t="s">
        <v>2393</v>
      </c>
      <c r="D457" s="261"/>
      <c r="E457" s="261"/>
      <c r="F457" s="270">
        <f>SUM(F455:F456)</f>
        <v>19341</v>
      </c>
    </row>
    <row r="458" spans="1:6" s="681" customFormat="1" ht="16.5" thickBot="1">
      <c r="A458" s="261"/>
      <c r="B458" s="261"/>
      <c r="C458" s="271" t="s">
        <v>2394</v>
      </c>
      <c r="D458" s="261"/>
      <c r="E458" s="261"/>
      <c r="F458" s="958">
        <f>F457/90</f>
        <v>214.9</v>
      </c>
    </row>
    <row r="459" spans="1:6" s="681" customFormat="1">
      <c r="A459" s="261"/>
      <c r="B459" s="261"/>
      <c r="C459" s="261"/>
      <c r="D459" s="261"/>
      <c r="E459" s="261"/>
      <c r="F459" s="261"/>
    </row>
    <row r="460" spans="1:6" s="681" customFormat="1">
      <c r="A460" s="252"/>
      <c r="B460" s="252"/>
      <c r="C460" s="296"/>
      <c r="D460" s="252"/>
      <c r="E460" s="740"/>
      <c r="F460" s="375"/>
    </row>
    <row r="461" spans="1:6" s="681" customFormat="1">
      <c r="A461" s="744" t="s">
        <v>1374</v>
      </c>
      <c r="B461" s="283" t="s">
        <v>2251</v>
      </c>
      <c r="C461" s="374" t="s">
        <v>6111</v>
      </c>
      <c r="D461" s="283"/>
      <c r="E461" s="744"/>
      <c r="F461" s="283"/>
    </row>
    <row r="462" spans="1:6" s="681" customFormat="1">
      <c r="A462" s="283"/>
      <c r="B462" s="283"/>
      <c r="C462" s="374" t="s">
        <v>1524</v>
      </c>
      <c r="D462" s="283"/>
      <c r="E462" s="744"/>
      <c r="F462" s="283"/>
    </row>
    <row r="463" spans="1:6" s="681" customFormat="1">
      <c r="A463" s="283"/>
      <c r="B463" s="283"/>
      <c r="C463" s="745" t="s">
        <v>1200</v>
      </c>
      <c r="D463" s="283"/>
      <c r="E463" s="744"/>
      <c r="F463" s="283"/>
    </row>
    <row r="464" spans="1:6" s="681" customFormat="1">
      <c r="A464" s="283"/>
      <c r="B464" s="283"/>
      <c r="C464" s="748" t="s">
        <v>1586</v>
      </c>
      <c r="D464" s="283"/>
      <c r="E464" s="744"/>
      <c r="F464" s="283"/>
    </row>
    <row r="465" spans="1:6" s="681" customFormat="1">
      <c r="A465" s="283">
        <v>1.4</v>
      </c>
      <c r="B465" s="283" t="s">
        <v>1238</v>
      </c>
      <c r="C465" s="745" t="s">
        <v>5314</v>
      </c>
      <c r="D465" s="784">
        <v>295.60000000000002</v>
      </c>
      <c r="E465" s="744" t="s">
        <v>1238</v>
      </c>
      <c r="F465" s="283">
        <f>D465*A465</f>
        <v>413.84</v>
      </c>
    </row>
    <row r="466" spans="1:6" s="681" customFormat="1">
      <c r="A466" s="283">
        <v>0.98</v>
      </c>
      <c r="B466" s="283" t="s">
        <v>1238</v>
      </c>
      <c r="C466" s="374" t="s">
        <v>5315</v>
      </c>
      <c r="D466" s="283">
        <f>Data!C197</f>
        <v>147.5</v>
      </c>
      <c r="E466" s="744" t="s">
        <v>1238</v>
      </c>
      <c r="F466" s="283">
        <f>(A466*D466)</f>
        <v>144.55000000000001</v>
      </c>
    </row>
    <row r="467" spans="1:6" s="681" customFormat="1">
      <c r="A467" s="283">
        <v>2.2000000000000002</v>
      </c>
      <c r="B467" s="283" t="s">
        <v>769</v>
      </c>
      <c r="C467" s="374" t="s">
        <v>1179</v>
      </c>
      <c r="D467" s="283">
        <f>Data!P1303</f>
        <v>797</v>
      </c>
      <c r="E467" s="744" t="s">
        <v>769</v>
      </c>
      <c r="F467" s="283">
        <f>(A467*D467)</f>
        <v>1753.4</v>
      </c>
    </row>
    <row r="468" spans="1:6" s="681" customFormat="1">
      <c r="A468" s="283"/>
      <c r="B468" s="283" t="s">
        <v>449</v>
      </c>
      <c r="C468" s="374" t="s">
        <v>1181</v>
      </c>
      <c r="D468" s="374" t="s">
        <v>975</v>
      </c>
      <c r="E468" s="744" t="s">
        <v>449</v>
      </c>
      <c r="F468" s="283">
        <v>2.5499999999999998</v>
      </c>
    </row>
    <row r="469" spans="1:6" s="681" customFormat="1">
      <c r="A469" s="283"/>
      <c r="B469" s="283"/>
      <c r="C469" s="283"/>
      <c r="D469" s="283"/>
      <c r="E469" s="744"/>
      <c r="F469" s="748"/>
    </row>
    <row r="470" spans="1:6" s="681" customFormat="1">
      <c r="A470" s="283"/>
      <c r="B470" s="283"/>
      <c r="C470" s="374" t="s">
        <v>441</v>
      </c>
      <c r="D470" s="283"/>
      <c r="E470" s="744"/>
      <c r="F470" s="283">
        <f>SUM(F465:F468)</f>
        <v>2314.34</v>
      </c>
    </row>
    <row r="471" spans="1:6" s="681" customFormat="1" ht="18" customHeight="1" thickBot="1">
      <c r="A471" s="283"/>
      <c r="B471" s="283"/>
      <c r="C471" s="283"/>
      <c r="D471" s="283"/>
      <c r="E471" s="744"/>
      <c r="F471" s="748" t="s">
        <v>1586</v>
      </c>
    </row>
    <row r="472" spans="1:6" s="681" customFormat="1" ht="18" customHeight="1" thickBot="1">
      <c r="A472" s="283"/>
      <c r="B472" s="283"/>
      <c r="C472" s="374" t="s">
        <v>552</v>
      </c>
      <c r="D472" s="283"/>
      <c r="E472" s="744"/>
      <c r="F472" s="957">
        <f>(F470/10)</f>
        <v>231.43</v>
      </c>
    </row>
    <row r="473" spans="1:6" s="681" customFormat="1" ht="18" customHeight="1">
      <c r="A473" s="374" t="s">
        <v>975</v>
      </c>
      <c r="B473" s="283"/>
      <c r="C473" s="283"/>
      <c r="D473" s="283"/>
      <c r="E473" s="744"/>
      <c r="F473" s="283"/>
    </row>
    <row r="474" spans="1:6" s="681" customFormat="1" ht="18" customHeight="1">
      <c r="A474" s="283"/>
      <c r="B474" s="374" t="s">
        <v>2251</v>
      </c>
      <c r="C474" s="374" t="s">
        <v>1040</v>
      </c>
      <c r="D474" s="283"/>
      <c r="E474" s="283"/>
      <c r="F474" s="283"/>
    </row>
    <row r="475" spans="1:6" s="681" customFormat="1" ht="18" customHeight="1">
      <c r="A475" s="283"/>
      <c r="B475" s="283"/>
      <c r="C475" s="748" t="s">
        <v>1586</v>
      </c>
      <c r="D475" s="283"/>
      <c r="E475" s="283"/>
      <c r="F475" s="283"/>
    </row>
    <row r="476" spans="1:6" s="681" customFormat="1" ht="18" customHeight="1">
      <c r="A476" s="283">
        <v>0.22</v>
      </c>
      <c r="B476" s="374" t="s">
        <v>869</v>
      </c>
      <c r="C476" s="374" t="s">
        <v>1353</v>
      </c>
      <c r="D476" s="283">
        <f>(Data!K32)</f>
        <v>5089.26</v>
      </c>
      <c r="E476" s="374" t="s">
        <v>869</v>
      </c>
      <c r="F476" s="283">
        <f>(A476*D476)</f>
        <v>1119.6400000000001</v>
      </c>
    </row>
    <row r="477" spans="1:6" s="681" customFormat="1" ht="18" customHeight="1">
      <c r="A477" s="283">
        <v>2.2000000000000002</v>
      </c>
      <c r="B477" s="374" t="s">
        <v>868</v>
      </c>
      <c r="C477" s="374" t="s">
        <v>2009</v>
      </c>
      <c r="D477" s="283">
        <f>(Data!C10)</f>
        <v>999</v>
      </c>
      <c r="E477" s="374" t="s">
        <v>868</v>
      </c>
      <c r="F477" s="283">
        <f>(A477*D477)</f>
        <v>2197.8000000000002</v>
      </c>
    </row>
    <row r="478" spans="1:6" s="681" customFormat="1" ht="18" customHeight="1">
      <c r="A478" s="283">
        <v>0.5</v>
      </c>
      <c r="B478" s="374" t="s">
        <v>868</v>
      </c>
      <c r="C478" s="374" t="s">
        <v>1902</v>
      </c>
      <c r="D478" s="283">
        <f>(Data!C12)</f>
        <v>651</v>
      </c>
      <c r="E478" s="374" t="s">
        <v>868</v>
      </c>
      <c r="F478" s="283">
        <f>(A478*D478)</f>
        <v>325.5</v>
      </c>
    </row>
    <row r="479" spans="1:6" s="681" customFormat="1" ht="18" customHeight="1">
      <c r="A479" s="283">
        <v>3.2</v>
      </c>
      <c r="B479" s="374" t="s">
        <v>868</v>
      </c>
      <c r="C479" s="374" t="s">
        <v>320</v>
      </c>
      <c r="D479" s="283">
        <f>(Data!C13)</f>
        <v>534</v>
      </c>
      <c r="E479" s="374" t="s">
        <v>868</v>
      </c>
      <c r="F479" s="283">
        <f>(A479*D479)</f>
        <v>1708.8</v>
      </c>
    </row>
    <row r="480" spans="1:6" s="681" customFormat="1" ht="18" customHeight="1">
      <c r="A480" s="283"/>
      <c r="B480" s="374" t="s">
        <v>449</v>
      </c>
      <c r="C480" s="374" t="s">
        <v>450</v>
      </c>
      <c r="D480" s="374" t="s">
        <v>975</v>
      </c>
      <c r="E480" s="374" t="s">
        <v>449</v>
      </c>
      <c r="F480" s="283">
        <v>0</v>
      </c>
    </row>
    <row r="481" spans="1:6" s="681" customFormat="1" ht="18" customHeight="1">
      <c r="A481" s="283"/>
      <c r="B481" s="283"/>
      <c r="C481" s="283"/>
      <c r="D481" s="283"/>
      <c r="E481" s="283"/>
      <c r="F481" s="748" t="s">
        <v>1586</v>
      </c>
    </row>
    <row r="482" spans="1:6" s="681" customFormat="1" ht="18" customHeight="1">
      <c r="A482" s="283"/>
      <c r="B482" s="283"/>
      <c r="C482" s="374" t="s">
        <v>441</v>
      </c>
      <c r="D482" s="283"/>
      <c r="E482" s="283"/>
      <c r="F482" s="283">
        <f>SUM(F476:F480)</f>
        <v>5351.74</v>
      </c>
    </row>
    <row r="483" spans="1:6" s="681" customFormat="1" ht="18" customHeight="1" thickBot="1">
      <c r="A483" s="283"/>
      <c r="B483" s="283"/>
      <c r="C483" s="283"/>
      <c r="D483" s="283"/>
      <c r="E483" s="283"/>
      <c r="F483" s="748" t="s">
        <v>1586</v>
      </c>
    </row>
    <row r="484" spans="1:6" s="681" customFormat="1" ht="18" customHeight="1" thickBot="1">
      <c r="A484" s="283"/>
      <c r="B484" s="283"/>
      <c r="C484" s="374" t="s">
        <v>552</v>
      </c>
      <c r="D484" s="283"/>
      <c r="E484" s="283"/>
      <c r="F484" s="959">
        <f>(F482/10)</f>
        <v>535.16999999999996</v>
      </c>
    </row>
    <row r="485" spans="1:6" s="681" customFormat="1" ht="18" customHeight="1">
      <c r="A485" s="283"/>
      <c r="B485" s="283"/>
      <c r="C485" s="283"/>
      <c r="D485" s="283"/>
      <c r="E485" s="283"/>
      <c r="F485" s="748" t="s">
        <v>2055</v>
      </c>
    </row>
    <row r="486" spans="1:6" s="681" customFormat="1" ht="18" customHeight="1">
      <c r="A486" s="252"/>
      <c r="B486" s="252"/>
      <c r="C486" s="296"/>
      <c r="D486" s="252"/>
      <c r="E486" s="296"/>
      <c r="F486" s="375"/>
    </row>
    <row r="487" spans="1:6" s="681" customFormat="1" ht="18" customHeight="1">
      <c r="A487" s="765">
        <v>37.1</v>
      </c>
      <c r="B487" s="283" t="s">
        <v>2251</v>
      </c>
      <c r="C487" s="374" t="s">
        <v>395</v>
      </c>
      <c r="D487" s="283"/>
      <c r="E487" s="374"/>
      <c r="F487" s="283"/>
    </row>
    <row r="488" spans="1:6" s="681" customFormat="1" ht="18" customHeight="1">
      <c r="A488" s="283"/>
      <c r="B488" s="283"/>
      <c r="C488" s="748" t="s">
        <v>1586</v>
      </c>
      <c r="D488" s="283"/>
      <c r="E488" s="374"/>
      <c r="F488" s="283"/>
    </row>
    <row r="489" spans="1:6" s="681" customFormat="1" ht="18" customHeight="1">
      <c r="A489" s="283">
        <v>0.09</v>
      </c>
      <c r="B489" s="283" t="s">
        <v>869</v>
      </c>
      <c r="C489" s="374" t="s">
        <v>2004</v>
      </c>
      <c r="D489" s="283">
        <f>(Data!C85)</f>
        <v>1348</v>
      </c>
      <c r="E489" s="374" t="s">
        <v>869</v>
      </c>
      <c r="F489" s="283">
        <f>(A489*D489)</f>
        <v>121.32</v>
      </c>
    </row>
    <row r="490" spans="1:6" s="681" customFormat="1" ht="18" customHeight="1">
      <c r="A490" s="283">
        <v>2.2000000000000002</v>
      </c>
      <c r="B490" s="283" t="s">
        <v>868</v>
      </c>
      <c r="C490" s="374" t="s">
        <v>1712</v>
      </c>
      <c r="D490" s="283">
        <f>(Data!C11)</f>
        <v>932</v>
      </c>
      <c r="E490" s="374" t="s">
        <v>868</v>
      </c>
      <c r="F490" s="283">
        <f>(A490*D490)</f>
        <v>2050.4</v>
      </c>
    </row>
    <row r="491" spans="1:6" s="681" customFormat="1" ht="18" customHeight="1">
      <c r="A491" s="283">
        <v>0.5</v>
      </c>
      <c r="B491" s="283" t="s">
        <v>868</v>
      </c>
      <c r="C491" s="374" t="s">
        <v>1902</v>
      </c>
      <c r="D491" s="283">
        <f>(Data!C12)</f>
        <v>651</v>
      </c>
      <c r="E491" s="374" t="s">
        <v>868</v>
      </c>
      <c r="F491" s="283">
        <f>(A491*D491)</f>
        <v>325.5</v>
      </c>
    </row>
    <row r="492" spans="1:6" s="681" customFormat="1" ht="18" customHeight="1">
      <c r="A492" s="283">
        <v>3.8</v>
      </c>
      <c r="B492" s="283" t="s">
        <v>868</v>
      </c>
      <c r="C492" s="374" t="s">
        <v>320</v>
      </c>
      <c r="D492" s="283">
        <f>(Data!C13)</f>
        <v>534</v>
      </c>
      <c r="E492" s="374" t="s">
        <v>868</v>
      </c>
      <c r="F492" s="283">
        <f>(A492*D492)</f>
        <v>2029.2</v>
      </c>
    </row>
    <row r="493" spans="1:6" s="681" customFormat="1" ht="18" customHeight="1">
      <c r="A493" s="283"/>
      <c r="B493" s="283" t="s">
        <v>449</v>
      </c>
      <c r="C493" s="374" t="s">
        <v>505</v>
      </c>
      <c r="D493" s="374" t="s">
        <v>975</v>
      </c>
      <c r="E493" s="374" t="s">
        <v>449</v>
      </c>
      <c r="F493" s="283">
        <v>1.5</v>
      </c>
    </row>
    <row r="494" spans="1:6" s="681" customFormat="1" ht="18" customHeight="1">
      <c r="A494" s="283"/>
      <c r="B494" s="283"/>
      <c r="C494" s="283"/>
      <c r="D494" s="283"/>
      <c r="E494" s="374"/>
      <c r="F494" s="748" t="s">
        <v>1586</v>
      </c>
    </row>
    <row r="495" spans="1:6" s="681" customFormat="1" ht="18" customHeight="1">
      <c r="A495" s="283"/>
      <c r="B495" s="283"/>
      <c r="C495" s="374" t="s">
        <v>1838</v>
      </c>
      <c r="D495" s="283"/>
      <c r="E495" s="374"/>
      <c r="F495" s="283">
        <f>SUM(F488:F493)</f>
        <v>4527.92</v>
      </c>
    </row>
    <row r="496" spans="1:6" s="681" customFormat="1" ht="18" customHeight="1" thickBot="1">
      <c r="A496" s="283"/>
      <c r="B496" s="283"/>
      <c r="C496" s="283"/>
      <c r="D496" s="283"/>
      <c r="E496" s="374"/>
      <c r="F496" s="748" t="s">
        <v>1586</v>
      </c>
    </row>
    <row r="497" spans="1:6" s="681" customFormat="1" ht="18" customHeight="1" thickBot="1">
      <c r="A497" s="283"/>
      <c r="B497" s="283"/>
      <c r="C497" s="757" t="s">
        <v>552</v>
      </c>
      <c r="D497" s="751"/>
      <c r="E497" s="745"/>
      <c r="F497" s="957">
        <f>(F495/100)</f>
        <v>45.28</v>
      </c>
    </row>
    <row r="498" spans="1:6" s="681" customFormat="1" ht="18" customHeight="1">
      <c r="A498" s="283"/>
      <c r="B498" s="283"/>
      <c r="C498" s="283"/>
      <c r="D498" s="283"/>
      <c r="E498" s="374"/>
      <c r="F498" s="748" t="s">
        <v>2055</v>
      </c>
    </row>
    <row r="499" spans="1:6" s="681" customFormat="1" ht="18" customHeight="1">
      <c r="A499" s="252"/>
      <c r="B499" s="252"/>
      <c r="C499" s="296"/>
      <c r="D499" s="252"/>
      <c r="E499" s="296"/>
      <c r="F499" s="375"/>
    </row>
    <row r="500" spans="1:6" s="681" customFormat="1" ht="18" customHeight="1">
      <c r="A500" s="252"/>
      <c r="B500" s="252"/>
      <c r="C500" s="296"/>
      <c r="D500" s="252"/>
      <c r="E500" s="296"/>
      <c r="F500" s="375"/>
    </row>
    <row r="501" spans="1:6" s="681" customFormat="1" ht="18" customHeight="1">
      <c r="A501" s="252"/>
      <c r="B501" s="252"/>
      <c r="C501" s="252"/>
      <c r="D501" s="252"/>
      <c r="E501" s="296"/>
      <c r="F501" s="375"/>
    </row>
    <row r="502" spans="1:6" s="681" customFormat="1" ht="18" customHeight="1">
      <c r="A502" s="252"/>
      <c r="B502" s="252"/>
      <c r="C502" s="296"/>
      <c r="D502" s="252"/>
      <c r="E502" s="296"/>
      <c r="F502" s="375"/>
    </row>
    <row r="503" spans="1:6" s="681" customFormat="1" ht="18" customHeight="1">
      <c r="A503" s="252"/>
      <c r="B503" s="252"/>
      <c r="C503" s="252"/>
      <c r="D503" s="252"/>
      <c r="E503" s="296"/>
      <c r="F503" s="375"/>
    </row>
    <row r="504" spans="1:6" s="681" customFormat="1" ht="18" customHeight="1">
      <c r="A504" s="252"/>
      <c r="B504" s="252"/>
      <c r="C504" s="296"/>
      <c r="D504" s="252"/>
      <c r="E504" s="296"/>
      <c r="F504" s="375"/>
    </row>
    <row r="505" spans="1:6" s="681" customFormat="1" ht="18" customHeight="1">
      <c r="A505" s="1047" t="s">
        <v>6595</v>
      </c>
      <c r="B505" s="1047"/>
      <c r="C505" s="1047"/>
      <c r="D505" s="1047"/>
      <c r="E505" s="1047"/>
      <c r="F505" s="1047"/>
    </row>
  </sheetData>
  <mergeCells count="2">
    <mergeCell ref="B270:E270"/>
    <mergeCell ref="A505:F505"/>
  </mergeCells>
  <pageMargins left="0.43" right="0.45" top="0.54" bottom="0.42" header="0.31496062992126" footer="0.31496062992126"/>
  <pageSetup paperSize="9" scale="90" orientation="portrait" r:id="rId1"/>
  <headerFooter>
    <oddHeader>Page &amp;P</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6041</v>
      </c>
      <c r="D5" s="122"/>
      <c r="E5" s="122"/>
      <c r="F5" s="122"/>
    </row>
    <row r="6" spans="1:6">
      <c r="A6" s="133"/>
      <c r="B6" s="134"/>
      <c r="C6" s="135" t="s">
        <v>6042</v>
      </c>
      <c r="D6" s="136"/>
      <c r="E6" s="137"/>
      <c r="F6" s="138"/>
    </row>
    <row r="7" spans="1:6">
      <c r="A7" s="133"/>
      <c r="B7" s="134"/>
      <c r="C7" s="139" t="s">
        <v>6043</v>
      </c>
      <c r="D7" s="136"/>
      <c r="E7" s="137"/>
      <c r="F7" s="133"/>
    </row>
    <row r="8" spans="1:6">
      <c r="A8" s="133"/>
      <c r="B8" s="134"/>
      <c r="C8" s="140" t="s">
        <v>4155</v>
      </c>
      <c r="D8" s="136"/>
      <c r="E8" s="137"/>
      <c r="F8" s="133"/>
    </row>
    <row r="9" spans="1:6">
      <c r="A9" s="133"/>
      <c r="B9" s="134"/>
      <c r="C9" s="139" t="s">
        <v>5595</v>
      </c>
      <c r="D9" s="136">
        <f>4.5*6.42*2</f>
        <v>57.78</v>
      </c>
      <c r="E9" s="137"/>
      <c r="F9" s="133"/>
    </row>
    <row r="10" spans="1:6">
      <c r="A10" s="133"/>
      <c r="B10" s="134"/>
      <c r="C10" s="139" t="s">
        <v>5596</v>
      </c>
      <c r="D10" s="136">
        <f>4.5*1*2</f>
        <v>9</v>
      </c>
      <c r="E10" s="137">
        <f>5/12</f>
        <v>0.42</v>
      </c>
      <c r="F10" s="133"/>
    </row>
    <row r="11" spans="1:6">
      <c r="A11" s="133"/>
      <c r="B11" s="134"/>
      <c r="C11" s="139" t="s">
        <v>5597</v>
      </c>
      <c r="D11" s="136">
        <f>4.5*1*2</f>
        <v>9</v>
      </c>
      <c r="E11" s="137"/>
      <c r="F11" s="133"/>
    </row>
    <row r="12" spans="1:6">
      <c r="A12" s="133"/>
      <c r="B12" s="134"/>
      <c r="C12" s="139" t="s">
        <v>5598</v>
      </c>
      <c r="D12" s="136">
        <f>6.42*1*2</f>
        <v>12.84</v>
      </c>
      <c r="E12" s="137"/>
      <c r="F12" s="133"/>
    </row>
    <row r="13" spans="1:6">
      <c r="A13" s="133"/>
      <c r="B13" s="134"/>
      <c r="C13" s="139" t="s">
        <v>5599</v>
      </c>
      <c r="D13" s="136">
        <f>SUM(D9:D12)</f>
        <v>88.62</v>
      </c>
      <c r="E13" s="137"/>
      <c r="F13" s="133"/>
    </row>
    <row r="14" spans="1:6">
      <c r="A14" s="133"/>
      <c r="B14" s="134"/>
      <c r="C14" s="140"/>
      <c r="D14" s="136">
        <f>D13*10%</f>
        <v>8.86</v>
      </c>
      <c r="E14" s="137"/>
      <c r="F14" s="133"/>
    </row>
    <row r="15" spans="1:6">
      <c r="A15" s="133"/>
      <c r="B15" s="134"/>
      <c r="C15" s="139" t="s">
        <v>5600</v>
      </c>
      <c r="D15" s="136">
        <f>SUM(D13:D14)</f>
        <v>97.48</v>
      </c>
      <c r="E15" s="137"/>
      <c r="F15" s="133"/>
    </row>
    <row r="16" spans="1:6">
      <c r="A16" s="144"/>
      <c r="B16" s="134"/>
      <c r="C16" s="140" t="s">
        <v>5601</v>
      </c>
      <c r="D16" s="136">
        <f>D15*1.17</f>
        <v>114.05</v>
      </c>
      <c r="E16" s="137"/>
      <c r="F16" s="133"/>
    </row>
    <row r="17" spans="1:6">
      <c r="A17" s="133"/>
      <c r="B17" s="134"/>
      <c r="C17" s="139" t="s">
        <v>5602</v>
      </c>
      <c r="D17" s="136"/>
      <c r="E17" s="137"/>
      <c r="F17" s="133"/>
    </row>
    <row r="18" spans="1:6">
      <c r="A18" s="133"/>
      <c r="B18" s="134"/>
      <c r="C18" s="139"/>
      <c r="D18" s="136"/>
      <c r="E18" s="137"/>
      <c r="F18" s="133"/>
    </row>
    <row r="19" spans="1:6">
      <c r="A19" s="133">
        <v>81.099999999999994</v>
      </c>
      <c r="B19" s="134" t="s">
        <v>913</v>
      </c>
      <c r="C19" s="139" t="s">
        <v>5499</v>
      </c>
      <c r="D19" s="136">
        <v>51.4</v>
      </c>
      <c r="E19" s="137" t="s">
        <v>913</v>
      </c>
      <c r="F19" s="133"/>
    </row>
    <row r="20" spans="1:6">
      <c r="A20" s="144"/>
      <c r="B20" s="134"/>
      <c r="C20" s="140" t="s">
        <v>4163</v>
      </c>
      <c r="D20" s="136"/>
      <c r="E20" s="137"/>
      <c r="F20" s="133">
        <f t="shared" ref="F20:F65" si="0">D20*A20</f>
        <v>0</v>
      </c>
    </row>
    <row r="21" spans="1:6">
      <c r="A21" s="133"/>
      <c r="B21" s="134"/>
      <c r="C21" s="139" t="s">
        <v>4164</v>
      </c>
      <c r="D21" s="136"/>
      <c r="E21" s="137"/>
      <c r="F21" s="133">
        <f t="shared" si="0"/>
        <v>0</v>
      </c>
    </row>
    <row r="22" spans="1:6">
      <c r="A22" s="133"/>
      <c r="B22" s="134"/>
      <c r="C22" s="139" t="s">
        <v>5240</v>
      </c>
      <c r="D22" s="136"/>
      <c r="E22" s="137"/>
      <c r="F22" s="133">
        <f t="shared" si="0"/>
        <v>0</v>
      </c>
    </row>
    <row r="23" spans="1:6">
      <c r="A23" s="133"/>
      <c r="B23" s="134"/>
      <c r="C23" s="139" t="s">
        <v>5198</v>
      </c>
      <c r="D23" s="136"/>
      <c r="E23" s="137"/>
      <c r="F23" s="133">
        <f t="shared" si="0"/>
        <v>0</v>
      </c>
    </row>
    <row r="24" spans="1:6">
      <c r="A24" s="133"/>
      <c r="B24" s="134"/>
      <c r="C24" s="139" t="s">
        <v>5239</v>
      </c>
      <c r="D24" s="136"/>
      <c r="E24" s="137"/>
      <c r="F24" s="133">
        <f t="shared" si="0"/>
        <v>0</v>
      </c>
    </row>
    <row r="25" spans="1:6" ht="31.5">
      <c r="A25" s="133"/>
      <c r="B25" s="134"/>
      <c r="C25" s="139" t="s">
        <v>5603</v>
      </c>
      <c r="D25" s="136"/>
      <c r="E25" s="137"/>
      <c r="F25" s="133">
        <f t="shared" si="0"/>
        <v>0</v>
      </c>
    </row>
    <row r="26" spans="1:6">
      <c r="A26" s="133"/>
      <c r="B26" s="134"/>
      <c r="C26" s="139" t="s">
        <v>5604</v>
      </c>
      <c r="D26" s="136"/>
      <c r="E26" s="137"/>
      <c r="F26" s="133">
        <f t="shared" si="0"/>
        <v>0</v>
      </c>
    </row>
    <row r="27" spans="1:6">
      <c r="A27" s="133"/>
      <c r="B27" s="134"/>
      <c r="C27" s="139" t="s">
        <v>5605</v>
      </c>
      <c r="D27" s="136"/>
      <c r="E27" s="137"/>
      <c r="F27" s="133">
        <f t="shared" si="0"/>
        <v>0</v>
      </c>
    </row>
    <row r="28" spans="1:6">
      <c r="A28" s="133">
        <v>35</v>
      </c>
      <c r="B28" s="134" t="s">
        <v>913</v>
      </c>
      <c r="C28" s="139" t="s">
        <v>5500</v>
      </c>
      <c r="D28" s="136">
        <f>D19</f>
        <v>51.4</v>
      </c>
      <c r="E28" s="137" t="s">
        <v>913</v>
      </c>
      <c r="F28" s="133">
        <f t="shared" si="0"/>
        <v>1799</v>
      </c>
    </row>
    <row r="29" spans="1:6">
      <c r="A29" s="133"/>
      <c r="B29" s="134"/>
      <c r="C29" s="140" t="s">
        <v>4172</v>
      </c>
      <c r="D29" s="136"/>
      <c r="E29" s="137"/>
      <c r="F29" s="133">
        <f t="shared" si="0"/>
        <v>0</v>
      </c>
    </row>
    <row r="30" spans="1:6">
      <c r="A30" s="133"/>
      <c r="B30" s="134"/>
      <c r="C30" s="139" t="s">
        <v>4173</v>
      </c>
      <c r="D30" s="136"/>
      <c r="E30" s="137"/>
      <c r="F30" s="133">
        <f t="shared" si="0"/>
        <v>0</v>
      </c>
    </row>
    <row r="31" spans="1:6">
      <c r="A31" s="133"/>
      <c r="B31" s="134"/>
      <c r="C31" s="139" t="s">
        <v>4174</v>
      </c>
      <c r="D31" s="136"/>
      <c r="E31" s="137"/>
      <c r="F31" s="133">
        <f t="shared" si="0"/>
        <v>0</v>
      </c>
    </row>
    <row r="32" spans="1:6">
      <c r="A32" s="133"/>
      <c r="B32" s="134"/>
      <c r="C32" s="139" t="s">
        <v>5606</v>
      </c>
      <c r="D32" s="136"/>
      <c r="E32" s="137"/>
      <c r="F32" s="133">
        <f t="shared" si="0"/>
        <v>0</v>
      </c>
    </row>
    <row r="33" spans="1:6">
      <c r="A33" s="133"/>
      <c r="B33" s="134"/>
      <c r="C33" s="139" t="s">
        <v>5607</v>
      </c>
      <c r="D33" s="136"/>
      <c r="E33" s="137"/>
      <c r="F33" s="133">
        <f t="shared" si="0"/>
        <v>0</v>
      </c>
    </row>
    <row r="34" spans="1:6">
      <c r="A34" s="133"/>
      <c r="B34" s="134"/>
      <c r="C34" s="139" t="s">
        <v>5608</v>
      </c>
      <c r="D34" s="136"/>
      <c r="E34" s="137"/>
      <c r="F34" s="133">
        <f t="shared" si="0"/>
        <v>0</v>
      </c>
    </row>
    <row r="35" spans="1:6" ht="31.5">
      <c r="A35" s="133"/>
      <c r="B35" s="134"/>
      <c r="C35" s="139" t="s">
        <v>5609</v>
      </c>
      <c r="D35" s="136"/>
      <c r="E35" s="137"/>
      <c r="F35" s="133">
        <f t="shared" si="0"/>
        <v>0</v>
      </c>
    </row>
    <row r="36" spans="1:6">
      <c r="A36" s="133"/>
      <c r="B36" s="134"/>
      <c r="C36" s="139" t="s">
        <v>5610</v>
      </c>
      <c r="D36" s="136"/>
      <c r="E36" s="137"/>
      <c r="F36" s="133">
        <f t="shared" si="0"/>
        <v>0</v>
      </c>
    </row>
    <row r="37" spans="1:6">
      <c r="A37" s="133"/>
      <c r="B37" s="134"/>
      <c r="C37" s="139" t="s">
        <v>5611</v>
      </c>
      <c r="D37" s="136"/>
      <c r="E37" s="137"/>
      <c r="F37" s="133">
        <f t="shared" si="0"/>
        <v>0</v>
      </c>
    </row>
    <row r="38" spans="1:6">
      <c r="A38" s="133"/>
      <c r="B38" s="134"/>
      <c r="C38" s="139" t="s">
        <v>5612</v>
      </c>
      <c r="D38" s="136"/>
      <c r="E38" s="137"/>
      <c r="F38" s="133">
        <f t="shared" si="0"/>
        <v>0</v>
      </c>
    </row>
    <row r="39" spans="1:6">
      <c r="A39" s="133"/>
      <c r="B39" s="134"/>
      <c r="C39" s="139"/>
      <c r="D39" s="136"/>
      <c r="E39" s="137"/>
      <c r="F39" s="133">
        <f t="shared" si="0"/>
        <v>0</v>
      </c>
    </row>
    <row r="40" spans="1:6">
      <c r="A40" s="133"/>
      <c r="B40" s="134"/>
      <c r="C40" s="139" t="s">
        <v>5613</v>
      </c>
      <c r="D40" s="136"/>
      <c r="E40" s="137"/>
      <c r="F40" s="133">
        <f t="shared" si="0"/>
        <v>0</v>
      </c>
    </row>
    <row r="41" spans="1:6">
      <c r="A41" s="133"/>
      <c r="B41" s="134"/>
      <c r="C41" s="139"/>
      <c r="D41" s="136"/>
      <c r="E41" s="137"/>
      <c r="F41" s="133">
        <f t="shared" si="0"/>
        <v>0</v>
      </c>
    </row>
    <row r="42" spans="1:6">
      <c r="A42" s="133">
        <v>2</v>
      </c>
      <c r="B42" s="134" t="s">
        <v>913</v>
      </c>
      <c r="C42" s="139" t="s">
        <v>5504</v>
      </c>
      <c r="D42" s="136">
        <v>526</v>
      </c>
      <c r="E42" s="137" t="s">
        <v>913</v>
      </c>
      <c r="F42" s="133">
        <f t="shared" si="0"/>
        <v>1052</v>
      </c>
    </row>
    <row r="43" spans="1:6">
      <c r="A43" s="133">
        <v>6.2</v>
      </c>
      <c r="B43" s="134" t="s">
        <v>913</v>
      </c>
      <c r="C43" s="139" t="s">
        <v>5505</v>
      </c>
      <c r="D43" s="136">
        <v>10</v>
      </c>
      <c r="E43" s="137" t="s">
        <v>913</v>
      </c>
      <c r="F43" s="133">
        <f t="shared" si="0"/>
        <v>62</v>
      </c>
    </row>
    <row r="44" spans="1:6">
      <c r="A44" s="133">
        <v>3.66</v>
      </c>
      <c r="B44" s="139" t="s">
        <v>826</v>
      </c>
      <c r="C44" s="139" t="s">
        <v>6044</v>
      </c>
      <c r="D44" s="136">
        <v>114</v>
      </c>
      <c r="E44" s="137" t="s">
        <v>826</v>
      </c>
      <c r="F44" s="133">
        <f t="shared" si="0"/>
        <v>417.24</v>
      </c>
    </row>
    <row r="45" spans="1:6">
      <c r="A45" s="133">
        <v>15.4</v>
      </c>
      <c r="B45" s="139" t="s">
        <v>913</v>
      </c>
      <c r="C45" s="139" t="s">
        <v>6045</v>
      </c>
      <c r="D45" s="136">
        <v>51.4</v>
      </c>
      <c r="E45" s="137" t="s">
        <v>913</v>
      </c>
      <c r="F45" s="133">
        <f t="shared" si="0"/>
        <v>791.56</v>
      </c>
    </row>
    <row r="46" spans="1:6">
      <c r="A46" s="133">
        <v>3</v>
      </c>
      <c r="B46" s="139" t="s">
        <v>1030</v>
      </c>
      <c r="C46" s="139" t="s">
        <v>5483</v>
      </c>
      <c r="D46" s="136">
        <v>696.43</v>
      </c>
      <c r="E46" s="137" t="s">
        <v>1398</v>
      </c>
      <c r="F46" s="133">
        <f t="shared" si="0"/>
        <v>2089.29</v>
      </c>
    </row>
    <row r="47" spans="1:6">
      <c r="A47" s="123">
        <v>1</v>
      </c>
      <c r="B47" s="124" t="s">
        <v>1030</v>
      </c>
      <c r="C47" s="128" t="s">
        <v>5729</v>
      </c>
      <c r="D47" s="123">
        <v>76.849999999999994</v>
      </c>
      <c r="E47" s="126" t="s">
        <v>1398</v>
      </c>
      <c r="F47" s="133">
        <f t="shared" si="0"/>
        <v>76.849999999999994</v>
      </c>
    </row>
    <row r="48" spans="1:6">
      <c r="A48" s="123">
        <v>3</v>
      </c>
      <c r="B48" s="124" t="s">
        <v>1030</v>
      </c>
      <c r="C48" s="128" t="s">
        <v>6046</v>
      </c>
      <c r="D48" s="123">
        <v>188.4</v>
      </c>
      <c r="E48" s="126" t="s">
        <v>1398</v>
      </c>
      <c r="F48" s="133">
        <f t="shared" si="0"/>
        <v>565.20000000000005</v>
      </c>
    </row>
    <row r="49" spans="1:6">
      <c r="A49" s="123">
        <v>1</v>
      </c>
      <c r="B49" s="124" t="s">
        <v>560</v>
      </c>
      <c r="C49" s="128" t="s">
        <v>6047</v>
      </c>
      <c r="D49" s="123">
        <v>84.4</v>
      </c>
      <c r="E49" s="126" t="s">
        <v>1398</v>
      </c>
      <c r="F49" s="133">
        <f t="shared" si="0"/>
        <v>84.4</v>
      </c>
    </row>
    <row r="50" spans="1:6">
      <c r="A50" s="123">
        <v>1</v>
      </c>
      <c r="B50" s="124" t="s">
        <v>1030</v>
      </c>
      <c r="C50" s="128" t="s">
        <v>5485</v>
      </c>
      <c r="D50" s="123">
        <v>67.150000000000006</v>
      </c>
      <c r="E50" s="126" t="s">
        <v>1398</v>
      </c>
      <c r="F50" s="133">
        <f t="shared" si="0"/>
        <v>67.150000000000006</v>
      </c>
    </row>
    <row r="51" spans="1:6">
      <c r="A51" s="123">
        <v>1</v>
      </c>
      <c r="B51" s="124" t="s">
        <v>1030</v>
      </c>
      <c r="C51" s="128" t="s">
        <v>5486</v>
      </c>
      <c r="D51" s="123">
        <v>37.65</v>
      </c>
      <c r="E51" s="126" t="s">
        <v>1398</v>
      </c>
      <c r="F51" s="133">
        <f t="shared" si="0"/>
        <v>37.65</v>
      </c>
    </row>
    <row r="52" spans="1:6">
      <c r="A52" s="132">
        <v>1</v>
      </c>
      <c r="B52" s="124" t="s">
        <v>560</v>
      </c>
      <c r="C52" s="249" t="s">
        <v>6048</v>
      </c>
      <c r="D52" s="250">
        <v>575</v>
      </c>
      <c r="E52" s="126" t="s">
        <v>1398</v>
      </c>
      <c r="F52" s="133">
        <f t="shared" si="0"/>
        <v>575</v>
      </c>
    </row>
    <row r="53" spans="1:6">
      <c r="A53" s="123">
        <v>1</v>
      </c>
      <c r="B53" s="124" t="s">
        <v>560</v>
      </c>
      <c r="C53" s="128" t="s">
        <v>6049</v>
      </c>
      <c r="D53" s="250">
        <v>256</v>
      </c>
      <c r="E53" s="126" t="s">
        <v>1398</v>
      </c>
      <c r="F53" s="133">
        <f t="shared" si="0"/>
        <v>256</v>
      </c>
    </row>
    <row r="54" spans="1:6">
      <c r="A54" s="123">
        <v>200</v>
      </c>
      <c r="B54" s="124" t="s">
        <v>4191</v>
      </c>
      <c r="C54" s="128" t="s">
        <v>5487</v>
      </c>
      <c r="D54" s="250">
        <v>1</v>
      </c>
      <c r="E54" s="126" t="s">
        <v>4191</v>
      </c>
      <c r="F54" s="133">
        <f t="shared" si="0"/>
        <v>200</v>
      </c>
    </row>
    <row r="55" spans="1:6">
      <c r="A55" s="123"/>
      <c r="B55" s="124"/>
      <c r="C55" s="128" t="s">
        <v>4193</v>
      </c>
      <c r="D55" s="250">
        <v>0</v>
      </c>
      <c r="E55" s="126"/>
      <c r="F55" s="133">
        <f t="shared" si="0"/>
        <v>0</v>
      </c>
    </row>
    <row r="56" spans="1:6">
      <c r="A56" s="123"/>
      <c r="B56" s="124"/>
      <c r="C56" s="128" t="s">
        <v>5488</v>
      </c>
      <c r="D56" s="250">
        <v>0</v>
      </c>
      <c r="E56" s="126"/>
      <c r="F56" s="133">
        <f t="shared" si="0"/>
        <v>0</v>
      </c>
    </row>
    <row r="57" spans="1:6">
      <c r="A57" s="123">
        <v>10.3</v>
      </c>
      <c r="B57" s="124" t="s">
        <v>826</v>
      </c>
      <c r="C57" s="128" t="s">
        <v>5489</v>
      </c>
      <c r="D57" s="250">
        <v>20</v>
      </c>
      <c r="E57" s="126" t="s">
        <v>826</v>
      </c>
      <c r="F57" s="133">
        <f t="shared" si="0"/>
        <v>206</v>
      </c>
    </row>
    <row r="58" spans="1:6">
      <c r="A58" s="123">
        <v>0.7</v>
      </c>
      <c r="B58" s="124" t="s">
        <v>4481</v>
      </c>
      <c r="C58" s="128" t="s">
        <v>5490</v>
      </c>
      <c r="D58" s="250">
        <v>1260</v>
      </c>
      <c r="E58" s="126" t="s">
        <v>4481</v>
      </c>
      <c r="F58" s="133">
        <f t="shared" si="0"/>
        <v>882</v>
      </c>
    </row>
    <row r="59" spans="1:6">
      <c r="A59" s="123">
        <v>3</v>
      </c>
      <c r="B59" s="124" t="s">
        <v>1432</v>
      </c>
      <c r="C59" s="128" t="s">
        <v>5491</v>
      </c>
      <c r="D59" s="250">
        <v>17.86</v>
      </c>
      <c r="E59" s="129" t="s">
        <v>1714</v>
      </c>
      <c r="F59" s="133">
        <f t="shared" si="0"/>
        <v>53.58</v>
      </c>
    </row>
    <row r="60" spans="1:6">
      <c r="A60" s="123">
        <v>1</v>
      </c>
      <c r="B60" s="124" t="s">
        <v>145</v>
      </c>
      <c r="C60" s="128" t="s">
        <v>5492</v>
      </c>
      <c r="D60" s="250">
        <v>90</v>
      </c>
      <c r="E60" s="126" t="s">
        <v>145</v>
      </c>
      <c r="F60" s="133">
        <f t="shared" si="0"/>
        <v>90</v>
      </c>
    </row>
    <row r="61" spans="1:6">
      <c r="A61" s="133">
        <v>5</v>
      </c>
      <c r="B61" s="134" t="s">
        <v>3440</v>
      </c>
      <c r="C61" s="139" t="s">
        <v>5493</v>
      </c>
      <c r="D61" s="136">
        <v>9.8000000000000007</v>
      </c>
      <c r="E61" s="137" t="s">
        <v>3440</v>
      </c>
      <c r="F61" s="133">
        <f t="shared" si="0"/>
        <v>49</v>
      </c>
    </row>
    <row r="62" spans="1:6">
      <c r="A62" s="133">
        <v>35</v>
      </c>
      <c r="B62" s="134" t="s">
        <v>913</v>
      </c>
      <c r="C62" s="139" t="s">
        <v>5494</v>
      </c>
      <c r="D62" s="136">
        <v>47.8</v>
      </c>
      <c r="E62" s="137" t="s">
        <v>913</v>
      </c>
      <c r="F62" s="133">
        <f t="shared" si="0"/>
        <v>1673</v>
      </c>
    </row>
    <row r="63" spans="1:6">
      <c r="A63" s="133">
        <v>2</v>
      </c>
      <c r="B63" s="134" t="s">
        <v>1432</v>
      </c>
      <c r="C63" s="139" t="s">
        <v>5495</v>
      </c>
      <c r="D63" s="136">
        <v>988</v>
      </c>
      <c r="E63" s="137" t="s">
        <v>1714</v>
      </c>
      <c r="F63" s="133">
        <f t="shared" si="0"/>
        <v>1976</v>
      </c>
    </row>
    <row r="64" spans="1:6">
      <c r="A64" s="133">
        <v>50</v>
      </c>
      <c r="B64" s="134" t="s">
        <v>4198</v>
      </c>
      <c r="C64" s="139" t="s">
        <v>5496</v>
      </c>
      <c r="D64" s="136">
        <v>10</v>
      </c>
      <c r="E64" s="137" t="s">
        <v>4200</v>
      </c>
      <c r="F64" s="133">
        <f t="shared" si="0"/>
        <v>500</v>
      </c>
    </row>
    <row r="65" spans="1:6" ht="47.25">
      <c r="A65" s="123">
        <v>9</v>
      </c>
      <c r="B65" s="124" t="s">
        <v>4201</v>
      </c>
      <c r="C65" s="128" t="s">
        <v>6050</v>
      </c>
      <c r="D65" s="126">
        <v>56.7</v>
      </c>
      <c r="E65" s="126" t="s">
        <v>4202</v>
      </c>
      <c r="F65" s="133">
        <f t="shared" si="0"/>
        <v>510.3</v>
      </c>
    </row>
    <row r="66" spans="1:6">
      <c r="A66" s="123"/>
      <c r="B66" s="134"/>
      <c r="C66" s="139" t="s">
        <v>4203</v>
      </c>
      <c r="D66" s="136"/>
      <c r="E66" s="137"/>
      <c r="F66" s="133"/>
    </row>
    <row r="67" spans="1:6">
      <c r="A67" s="123"/>
      <c r="B67" s="134"/>
      <c r="C67" s="139"/>
      <c r="D67" s="136" t="s">
        <v>2245</v>
      </c>
      <c r="E67" s="137"/>
      <c r="F67" s="138">
        <f>SUM(F20:F66)</f>
        <v>14013.22</v>
      </c>
    </row>
    <row r="68" spans="1:6" ht="31.5">
      <c r="A68" s="158"/>
      <c r="B68" s="134"/>
      <c r="C68" s="139" t="s">
        <v>4204</v>
      </c>
      <c r="D68" s="136"/>
      <c r="E68" s="137"/>
      <c r="F68" s="133">
        <f>F67*2/100</f>
        <v>280.26</v>
      </c>
    </row>
    <row r="69" spans="1:6" ht="18.75">
      <c r="A69" s="122"/>
      <c r="B69" s="134"/>
      <c r="C69" s="139"/>
      <c r="D69" s="136"/>
      <c r="E69" s="137"/>
      <c r="F69" s="138">
        <f>SUM(F67:F68)</f>
        <v>14293.48</v>
      </c>
    </row>
    <row r="70" spans="1:6" ht="18.75">
      <c r="A70" s="122"/>
      <c r="B70" s="124"/>
      <c r="C70" s="128" t="s">
        <v>4205</v>
      </c>
      <c r="D70" s="126"/>
      <c r="E70" s="126"/>
      <c r="F70" s="123">
        <v>400</v>
      </c>
    </row>
    <row r="71" spans="1:6" ht="18.75">
      <c r="A71" s="122"/>
      <c r="B71" s="124"/>
      <c r="C71" s="128" t="s">
        <v>4206</v>
      </c>
      <c r="D71" s="126"/>
      <c r="E71" s="126"/>
      <c r="F71" s="123">
        <v>400</v>
      </c>
    </row>
    <row r="72" spans="1:6" ht="18.75">
      <c r="A72" s="122"/>
      <c r="B72" s="124"/>
      <c r="C72" s="128"/>
      <c r="D72" s="126"/>
      <c r="E72" s="126"/>
      <c r="F72" s="130">
        <f>SUM(F69:F71)</f>
        <v>15093.48</v>
      </c>
    </row>
    <row r="73" spans="1:6" ht="18.75">
      <c r="A73" s="122"/>
      <c r="B73" s="157"/>
      <c r="C73" s="128"/>
      <c r="D73" s="126"/>
      <c r="E73" s="125" t="s">
        <v>5446</v>
      </c>
      <c r="F73" s="159">
        <v>15100</v>
      </c>
    </row>
  </sheetData>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18</vt:i4>
      </vt:variant>
    </vt:vector>
  </HeadingPairs>
  <TitlesOfParts>
    <vt:vector size="32" baseType="lpstr">
      <vt:lpstr>pile data ( M30 grade) (2)</vt:lpstr>
      <vt:lpstr>2 in 1 incl. F.E.</vt:lpstr>
      <vt:lpstr>pile data </vt:lpstr>
      <vt:lpstr>  Coastal  Elec.Data </vt:lpstr>
      <vt:lpstr>lead  charge</vt:lpstr>
      <vt:lpstr>Elec.Data</vt:lpstr>
      <vt:lpstr>Sliding and french window</vt:lpstr>
      <vt:lpstr>Data</vt:lpstr>
      <vt:lpstr>building</vt:lpstr>
      <vt:lpstr>Abstruct</vt:lpstr>
      <vt:lpstr>Detail</vt:lpstr>
      <vt:lpstr>Print Data (2)</vt:lpstr>
      <vt:lpstr>Sheet1</vt:lpstr>
      <vt:lpstr>Sheet3</vt:lpstr>
      <vt:lpstr>'  Coastal  Elec.Data '!Print_Area</vt:lpstr>
      <vt:lpstr>'2 in 1 incl. F.E.'!Print_Area</vt:lpstr>
      <vt:lpstr>Abstruct!Print_Area</vt:lpstr>
      <vt:lpstr>building!Print_Area</vt:lpstr>
      <vt:lpstr>Data!Print_Area</vt:lpstr>
      <vt:lpstr>Detail!Print_Area</vt:lpstr>
      <vt:lpstr>Elec.Data!Print_Area</vt:lpstr>
      <vt:lpstr>'lead  charge'!Print_Area</vt:lpstr>
      <vt:lpstr>'pile data '!Print_Area</vt:lpstr>
      <vt:lpstr>'pile data ( M30 grade) (2)'!Print_Area</vt:lpstr>
      <vt:lpstr>'Print Data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DBBPM</cp:lastModifiedBy>
  <cp:lastPrinted>2023-09-25T05:33:36Z</cp:lastPrinted>
  <dcterms:created xsi:type="dcterms:W3CDTF">2003-09-02T05:17:23Z</dcterms:created>
  <dcterms:modified xsi:type="dcterms:W3CDTF">2023-09-26T13:40:53Z</dcterms:modified>
</cp:coreProperties>
</file>